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TO\Users\ИПР 2022 Карелэнерго\16_Замечания к доработанному проекту ИПР\Прил 24 с НОВЫМИ РАСЧЕТАМИ СТОИМОСТЕЙ по ИП 2023года\новые расчеты по приуэ\"/>
    </mc:Choice>
  </mc:AlternateContent>
  <xr:revisionPtr revIDLastSave="0" documentId="8_{89907D11-7249-46E2-8333-3F3D89968F58}" xr6:coauthVersionLast="36" xr6:coauthVersionMax="36" xr10:uidLastSave="{00000000-0000-0000-0000-000000000000}"/>
  <bookViews>
    <workbookView xWindow="0" yWindow="0" windowWidth="21570" windowHeight="7680" tabRatio="750" xr2:uid="{00000000-000D-0000-FFFF-FFFF00000000}"/>
  </bookViews>
  <sheets>
    <sheet name="Свод" sheetId="14" r:id="rId1"/>
    <sheet name="2020  факт" sheetId="13" r:id="rId2"/>
    <sheet name="2021  факт" sheetId="27" r:id="rId3"/>
    <sheet name="цена МАТ. и ОБОР. по ТКП" sheetId="15" r:id="rId4"/>
    <sheet name="2022г" sheetId="17" r:id="rId5"/>
    <sheet name="2023г" sheetId="19" r:id="rId6"/>
    <sheet name="2024г" sheetId="20" r:id="rId7"/>
    <sheet name="2025г" sheetId="21" r:id="rId8"/>
    <sheet name="2026г" sheetId="22" r:id="rId9"/>
    <sheet name="2027г" sheetId="23" r:id="rId10"/>
  </sheets>
  <externalReferences>
    <externalReference r:id="rId11"/>
    <externalReference r:id="rId12"/>
  </externalReferences>
  <definedNames>
    <definedName name="Print_Titles" localSheetId="4">'2022г'!$17:$17</definedName>
    <definedName name="Print_Titles" localSheetId="5">'2023г'!$17:$17</definedName>
    <definedName name="Print_Titles" localSheetId="6">'2024г'!$17:$17</definedName>
    <definedName name="Print_Titles" localSheetId="7">'2025г'!$17:$17</definedName>
    <definedName name="Print_Titles" localSheetId="8">'2026г'!$17:$17</definedName>
    <definedName name="Print_Titles" localSheetId="9">'2027г'!$17:$17</definedName>
    <definedName name="_xlnm.Print_Titles" localSheetId="4">'2022г'!$17:$17</definedName>
    <definedName name="_xlnm.Print_Titles" localSheetId="5">'2023г'!$17:$17</definedName>
    <definedName name="_xlnm.Print_Titles" localSheetId="6">'2024г'!$17:$17</definedName>
    <definedName name="_xlnm.Print_Titles" localSheetId="7">'2025г'!$17:$17</definedName>
    <definedName name="_xlnm.Print_Titles" localSheetId="8">'2026г'!$17:$17</definedName>
    <definedName name="_xlnm.Print_Titles" localSheetId="9">'2027г'!$17:$17</definedName>
    <definedName name="_xlnm.Print_Area" localSheetId="4">'2022г'!$A$1:$H$56</definedName>
    <definedName name="_xlnm.Print_Area" localSheetId="5">'2023г'!$A$1:$H$56</definedName>
    <definedName name="_xlnm.Print_Area" localSheetId="6">'2024г'!$A$1:$H$56</definedName>
    <definedName name="_xlnm.Print_Area" localSheetId="7">'2025г'!$A$1:$H$56</definedName>
    <definedName name="_xlnm.Print_Area" localSheetId="8">'2026г'!$A$1:$H$56</definedName>
    <definedName name="_xlnm.Print_Area" localSheetId="9">'2027г'!$A$1:$H$56</definedName>
  </definedNames>
  <calcPr calcId="191029" fullPrecision="0"/>
</workbook>
</file>

<file path=xl/calcChain.xml><?xml version="1.0" encoding="utf-8"?>
<calcChain xmlns="http://schemas.openxmlformats.org/spreadsheetml/2006/main">
  <c r="I41" i="17" l="1"/>
  <c r="G7" i="14" l="1"/>
  <c r="F7" i="14"/>
  <c r="E7" i="14"/>
  <c r="D7" i="14"/>
  <c r="C7" i="14"/>
  <c r="D12" i="27" l="1"/>
  <c r="D11" i="27"/>
  <c r="D10" i="27"/>
  <c r="D9" i="27"/>
  <c r="D13" i="27" s="1"/>
  <c r="D12" i="13"/>
  <c r="D10" i="13"/>
  <c r="D9" i="13"/>
  <c r="D13" i="13" s="1"/>
  <c r="D14" i="27" l="1"/>
  <c r="D15" i="27" s="1"/>
  <c r="D14" i="13"/>
  <c r="D15" i="13" s="1"/>
  <c r="B13" i="14" l="1"/>
  <c r="B12" i="14"/>
  <c r="G11" i="14"/>
  <c r="F11" i="14" s="1"/>
  <c r="E11" i="14"/>
  <c r="D11" i="14"/>
  <c r="C11" i="14"/>
  <c r="B11" i="14"/>
  <c r="I23" i="21"/>
  <c r="D44" i="21"/>
  <c r="H44" i="21" s="1"/>
  <c r="E44" i="21" l="1"/>
  <c r="F44" i="21"/>
  <c r="G44" i="21"/>
  <c r="G10" i="14" l="1"/>
  <c r="B10" i="14"/>
  <c r="H44" i="20"/>
  <c r="G44" i="20"/>
  <c r="F44" i="20"/>
  <c r="E44" i="20"/>
  <c r="D44" i="20"/>
  <c r="G9" i="14"/>
  <c r="F9" i="14" s="1"/>
  <c r="E9" i="14"/>
  <c r="D9" i="14"/>
  <c r="C9" i="14"/>
  <c r="B9" i="14"/>
  <c r="D44" i="19"/>
  <c r="H44" i="19" s="1"/>
  <c r="D44" i="17"/>
  <c r="F44" i="17" s="1"/>
  <c r="B8" i="14"/>
  <c r="H44" i="17" l="1"/>
  <c r="G44" i="17"/>
  <c r="E44" i="17"/>
  <c r="E44" i="19"/>
  <c r="F44" i="19"/>
  <c r="G44" i="19"/>
  <c r="D22" i="27"/>
  <c r="D24" i="23" l="1"/>
  <c r="H24" i="23" s="1"/>
  <c r="D23" i="23"/>
  <c r="H23" i="23" s="1"/>
  <c r="F22" i="23"/>
  <c r="E22" i="23"/>
  <c r="H22" i="23" s="1"/>
  <c r="F21" i="23"/>
  <c r="E21" i="23"/>
  <c r="H21" i="23" s="1"/>
  <c r="F20" i="23"/>
  <c r="H20" i="23" s="1"/>
  <c r="E20" i="23"/>
  <c r="F19" i="23"/>
  <c r="E19" i="23"/>
  <c r="H19" i="23" s="1"/>
  <c r="D24" i="22"/>
  <c r="H24" i="22" s="1"/>
  <c r="D23" i="22"/>
  <c r="H23" i="22" s="1"/>
  <c r="F22" i="22"/>
  <c r="E22" i="22"/>
  <c r="H22" i="22" s="1"/>
  <c r="F21" i="22"/>
  <c r="E21" i="22"/>
  <c r="H21" i="22" s="1"/>
  <c r="F20" i="22"/>
  <c r="E20" i="22"/>
  <c r="H20" i="22" s="1"/>
  <c r="F19" i="22"/>
  <c r="E19" i="22"/>
  <c r="H19" i="22" s="1"/>
  <c r="D24" i="21"/>
  <c r="H24" i="21" s="1"/>
  <c r="D23" i="21"/>
  <c r="H23" i="21" s="1"/>
  <c r="F22" i="21"/>
  <c r="E22" i="21"/>
  <c r="H22" i="21" s="1"/>
  <c r="H21" i="21"/>
  <c r="F21" i="21"/>
  <c r="E21" i="21"/>
  <c r="F20" i="21"/>
  <c r="H20" i="21" s="1"/>
  <c r="E20" i="21"/>
  <c r="F19" i="21"/>
  <c r="E19" i="21"/>
  <c r="D24" i="20"/>
  <c r="H24" i="20" s="1"/>
  <c r="D23" i="20"/>
  <c r="H23" i="20" s="1"/>
  <c r="F22" i="20"/>
  <c r="E22" i="20"/>
  <c r="F21" i="20"/>
  <c r="E21" i="20"/>
  <c r="H21" i="20" s="1"/>
  <c r="F20" i="20"/>
  <c r="E20" i="20"/>
  <c r="F19" i="20"/>
  <c r="E19" i="20"/>
  <c r="H19" i="20" s="1"/>
  <c r="D24" i="19"/>
  <c r="H24" i="19" s="1"/>
  <c r="D23" i="19"/>
  <c r="H23" i="19" s="1"/>
  <c r="F22" i="19"/>
  <c r="E22" i="19"/>
  <c r="H22" i="19" s="1"/>
  <c r="F21" i="19"/>
  <c r="E21" i="19"/>
  <c r="H21" i="19" s="1"/>
  <c r="F20" i="19"/>
  <c r="E20" i="19"/>
  <c r="H20" i="19" s="1"/>
  <c r="F19" i="19"/>
  <c r="E19" i="19"/>
  <c r="H19" i="19" s="1"/>
  <c r="D24" i="17"/>
  <c r="H24" i="17" s="1"/>
  <c r="D23" i="17"/>
  <c r="H23" i="17" s="1"/>
  <c r="F22" i="17"/>
  <c r="E22" i="17"/>
  <c r="H22" i="17" s="1"/>
  <c r="F21" i="17"/>
  <c r="E21" i="17"/>
  <c r="F20" i="17"/>
  <c r="E20" i="17"/>
  <c r="H20" i="17" s="1"/>
  <c r="F19" i="17"/>
  <c r="E19" i="17"/>
  <c r="H19" i="17" l="1"/>
  <c r="H19" i="21"/>
  <c r="H20" i="20"/>
  <c r="H22" i="20"/>
  <c r="H21" i="17"/>
  <c r="H29" i="23" l="1"/>
  <c r="G25" i="23"/>
  <c r="D25" i="23"/>
  <c r="D27" i="23" s="1"/>
  <c r="D31" i="23" s="1"/>
  <c r="D36" i="23" s="1"/>
  <c r="F25" i="23"/>
  <c r="F27" i="23" s="1"/>
  <c r="F31" i="23" s="1"/>
  <c r="F36" i="23" s="1"/>
  <c r="H25" i="23"/>
  <c r="H27" i="23" s="1"/>
  <c r="H31" i="23" s="1"/>
  <c r="H29" i="22"/>
  <c r="G25" i="22"/>
  <c r="D25" i="22"/>
  <c r="D27" i="22" s="1"/>
  <c r="D31" i="22" s="1"/>
  <c r="D36" i="22" s="1"/>
  <c r="F25" i="22"/>
  <c r="F27" i="22" s="1"/>
  <c r="F31" i="22" s="1"/>
  <c r="F36" i="22" s="1"/>
  <c r="H25" i="22"/>
  <c r="H27" i="22" s="1"/>
  <c r="H31" i="22" s="1"/>
  <c r="H34" i="21"/>
  <c r="G34" i="21"/>
  <c r="H29" i="21"/>
  <c r="G25" i="21"/>
  <c r="D25" i="21"/>
  <c r="D27" i="21" s="1"/>
  <c r="D31" i="21" s="1"/>
  <c r="D36" i="21" s="1"/>
  <c r="F25" i="21"/>
  <c r="F27" i="21" s="1"/>
  <c r="F31" i="21" s="1"/>
  <c r="F36" i="21" s="1"/>
  <c r="H29" i="20"/>
  <c r="G25" i="20"/>
  <c r="D25" i="20"/>
  <c r="D27" i="20" s="1"/>
  <c r="D31" i="20" s="1"/>
  <c r="D36" i="20" s="1"/>
  <c r="F25" i="20"/>
  <c r="F27" i="20" s="1"/>
  <c r="F31" i="20" s="1"/>
  <c r="F36" i="20" s="1"/>
  <c r="H29" i="19"/>
  <c r="G25" i="19"/>
  <c r="D25" i="19"/>
  <c r="D27" i="19" s="1"/>
  <c r="D31" i="19" s="1"/>
  <c r="D36" i="19" s="1"/>
  <c r="F25" i="19"/>
  <c r="F27" i="19" s="1"/>
  <c r="F31" i="19" s="1"/>
  <c r="F36" i="19" s="1"/>
  <c r="E25" i="19"/>
  <c r="E27" i="19" s="1"/>
  <c r="E31" i="19" s="1"/>
  <c r="E36" i="19" s="1"/>
  <c r="H29" i="17"/>
  <c r="G25" i="17"/>
  <c r="D25" i="17"/>
  <c r="D27" i="17" s="1"/>
  <c r="D31" i="17" s="1"/>
  <c r="D36" i="17" s="1"/>
  <c r="F25" i="17"/>
  <c r="F27" i="17" s="1"/>
  <c r="F31" i="17" s="1"/>
  <c r="F36" i="17" s="1"/>
  <c r="E25" i="23" l="1"/>
  <c r="E27" i="23" s="1"/>
  <c r="E31" i="23" s="1"/>
  <c r="E36" i="23" s="1"/>
  <c r="E25" i="22"/>
  <c r="E27" i="22" s="1"/>
  <c r="E31" i="22" s="1"/>
  <c r="E36" i="22" s="1"/>
  <c r="H25" i="21"/>
  <c r="H27" i="21" s="1"/>
  <c r="H31" i="21" s="1"/>
  <c r="E25" i="21"/>
  <c r="E27" i="21" s="1"/>
  <c r="E31" i="21" s="1"/>
  <c r="E36" i="21" s="1"/>
  <c r="H25" i="20"/>
  <c r="H27" i="20" s="1"/>
  <c r="H31" i="20" s="1"/>
  <c r="E25" i="20"/>
  <c r="E27" i="20" s="1"/>
  <c r="E31" i="20" s="1"/>
  <c r="E36" i="20" s="1"/>
  <c r="H25" i="19"/>
  <c r="H27" i="19" s="1"/>
  <c r="H31" i="19" s="1"/>
  <c r="H25" i="17"/>
  <c r="H27" i="17" s="1"/>
  <c r="H31" i="17" s="1"/>
  <c r="E25" i="17"/>
  <c r="E27" i="17" s="1"/>
  <c r="E31" i="17" s="1"/>
  <c r="E36" i="17" s="1"/>
  <c r="I34" i="23" l="1"/>
  <c r="G34" i="23" s="1"/>
  <c r="H34" i="23" s="1"/>
  <c r="I33" i="23"/>
  <c r="G33" i="23" s="1"/>
  <c r="I34" i="22"/>
  <c r="G34" i="22" s="1"/>
  <c r="H34" i="22" s="1"/>
  <c r="I33" i="22"/>
  <c r="G33" i="22" s="1"/>
  <c r="I34" i="21"/>
  <c r="I33" i="21"/>
  <c r="G33" i="21" s="1"/>
  <c r="I34" i="20"/>
  <c r="G34" i="20" s="1"/>
  <c r="H34" i="20" s="1"/>
  <c r="I33" i="20"/>
  <c r="G33" i="20" s="1"/>
  <c r="I34" i="19"/>
  <c r="G34" i="19" s="1"/>
  <c r="H34" i="19" s="1"/>
  <c r="I33" i="19"/>
  <c r="G33" i="19" s="1"/>
  <c r="I34" i="17"/>
  <c r="G34" i="17" s="1"/>
  <c r="H34" i="17" s="1"/>
  <c r="I33" i="17"/>
  <c r="G33" i="17" s="1"/>
  <c r="H33" i="23" l="1"/>
  <c r="H35" i="23" s="1"/>
  <c r="H36" i="23" s="1"/>
  <c r="G35" i="23"/>
  <c r="G36" i="23" s="1"/>
  <c r="H33" i="22"/>
  <c r="H35" i="22" s="1"/>
  <c r="H36" i="22" s="1"/>
  <c r="G35" i="22"/>
  <c r="G36" i="22" s="1"/>
  <c r="H33" i="21"/>
  <c r="H35" i="21" s="1"/>
  <c r="H36" i="21" s="1"/>
  <c r="G35" i="21"/>
  <c r="G36" i="21" s="1"/>
  <c r="H33" i="20"/>
  <c r="H35" i="20" s="1"/>
  <c r="H36" i="20" s="1"/>
  <c r="G35" i="20"/>
  <c r="G36" i="20" s="1"/>
  <c r="H33" i="19"/>
  <c r="H35" i="19" s="1"/>
  <c r="H36" i="19" s="1"/>
  <c r="G35" i="19"/>
  <c r="G36" i="19" s="1"/>
  <c r="H33" i="17"/>
  <c r="H35" i="17" s="1"/>
  <c r="H36" i="17" s="1"/>
  <c r="G35" i="17"/>
  <c r="G36" i="17" s="1"/>
  <c r="H44" i="23"/>
  <c r="G44" i="23"/>
  <c r="F44" i="23"/>
  <c r="E44" i="23"/>
  <c r="D44" i="23"/>
  <c r="H44" i="22"/>
  <c r="G44" i="22"/>
  <c r="F44" i="22"/>
  <c r="E44" i="22"/>
  <c r="D44" i="22"/>
  <c r="G6" i="14"/>
  <c r="F6" i="14"/>
  <c r="E6" i="14"/>
  <c r="D6" i="14"/>
  <c r="F43" i="23"/>
  <c r="F45" i="23" s="1"/>
  <c r="F43" i="22"/>
  <c r="F45" i="22" s="1"/>
  <c r="D43" i="19"/>
  <c r="D45" i="19" s="1"/>
  <c r="F43" i="21" l="1"/>
  <c r="F45" i="21" s="1"/>
  <c r="F46" i="21" s="1"/>
  <c r="F47" i="21" s="1"/>
  <c r="F43" i="20"/>
  <c r="F45" i="20" s="1"/>
  <c r="F46" i="20" s="1"/>
  <c r="F47" i="20" s="1"/>
  <c r="E10" i="14" s="1"/>
  <c r="D46" i="19"/>
  <c r="D47" i="19" s="1"/>
  <c r="D48" i="19" s="1"/>
  <c r="D49" i="19" s="1"/>
  <c r="F43" i="19"/>
  <c r="F45" i="19" s="1"/>
  <c r="F46" i="19" s="1"/>
  <c r="F47" i="19" s="1"/>
  <c r="F46" i="23"/>
  <c r="F47" i="23" s="1"/>
  <c r="F46" i="22"/>
  <c r="F47" i="22" s="1"/>
  <c r="D43" i="23"/>
  <c r="D45" i="23" s="1"/>
  <c r="E43" i="23"/>
  <c r="E45" i="23" s="1"/>
  <c r="D43" i="22"/>
  <c r="D45" i="22" s="1"/>
  <c r="D46" i="22" s="1"/>
  <c r="D47" i="22" s="1"/>
  <c r="E43" i="22"/>
  <c r="E45" i="22" s="1"/>
  <c r="E46" i="22" s="1"/>
  <c r="E47" i="22" s="1"/>
  <c r="D43" i="21"/>
  <c r="D45" i="21" s="1"/>
  <c r="D46" i="21" s="1"/>
  <c r="E43" i="21"/>
  <c r="E45" i="21" s="1"/>
  <c r="E46" i="21" s="1"/>
  <c r="E47" i="21" s="1"/>
  <c r="E48" i="21" s="1"/>
  <c r="E49" i="21" s="1"/>
  <c r="D43" i="20"/>
  <c r="D45" i="20" s="1"/>
  <c r="E43" i="20"/>
  <c r="E45" i="20" s="1"/>
  <c r="E46" i="20" s="1"/>
  <c r="E43" i="19"/>
  <c r="E45" i="19" s="1"/>
  <c r="D46" i="23" l="1"/>
  <c r="D47" i="23" s="1"/>
  <c r="E46" i="23"/>
  <c r="E47" i="23" s="1"/>
  <c r="E48" i="23" s="1"/>
  <c r="E49" i="23" s="1"/>
  <c r="F48" i="21"/>
  <c r="F49" i="21" s="1"/>
  <c r="D46" i="20"/>
  <c r="D47" i="20" s="1"/>
  <c r="E47" i="20"/>
  <c r="E46" i="19"/>
  <c r="E13" i="14"/>
  <c r="F48" i="23"/>
  <c r="F49" i="23" s="1"/>
  <c r="E12" i="14"/>
  <c r="F48" i="22"/>
  <c r="F49" i="22" s="1"/>
  <c r="E48" i="22"/>
  <c r="E49" i="22" s="1"/>
  <c r="D48" i="22"/>
  <c r="D49" i="22" s="1"/>
  <c r="D12" i="14"/>
  <c r="D47" i="21"/>
  <c r="F48" i="20"/>
  <c r="F49" i="20" s="1"/>
  <c r="F48" i="19"/>
  <c r="F49" i="19" s="1"/>
  <c r="G13" i="14"/>
  <c r="F13" i="14" s="1"/>
  <c r="G12" i="14"/>
  <c r="E48" i="20" l="1"/>
  <c r="E49" i="20" s="1"/>
  <c r="D10" i="14"/>
  <c r="D48" i="23"/>
  <c r="D49" i="23"/>
  <c r="D13" i="14"/>
  <c r="D48" i="20"/>
  <c r="D49" i="20" s="1"/>
  <c r="E47" i="19"/>
  <c r="D48" i="21"/>
  <c r="D49" i="21" s="1"/>
  <c r="H41" i="23"/>
  <c r="H42" i="23" s="1"/>
  <c r="G38" i="23" s="1"/>
  <c r="G42" i="23"/>
  <c r="H41" i="22"/>
  <c r="H42" i="22" s="1"/>
  <c r="G38" i="22" s="1"/>
  <c r="G42" i="22"/>
  <c r="H41" i="21"/>
  <c r="H42" i="21" s="1"/>
  <c r="G38" i="21" s="1"/>
  <c r="G42" i="21"/>
  <c r="H41" i="20"/>
  <c r="H42" i="20" s="1"/>
  <c r="G38" i="20" s="1"/>
  <c r="G42" i="20"/>
  <c r="E48" i="19" l="1"/>
  <c r="E49" i="19" s="1"/>
  <c r="H41" i="19"/>
  <c r="H42" i="19" s="1"/>
  <c r="G38" i="19" s="1"/>
  <c r="G42" i="19"/>
  <c r="H38" i="23" l="1"/>
  <c r="H39" i="23" s="1"/>
  <c r="H43" i="23" s="1"/>
  <c r="H45" i="23" s="1"/>
  <c r="G39" i="23"/>
  <c r="G43" i="23" s="1"/>
  <c r="G45" i="23" s="1"/>
  <c r="G46" i="23" s="1"/>
  <c r="H38" i="22"/>
  <c r="H39" i="22" s="1"/>
  <c r="H43" i="22" s="1"/>
  <c r="H45" i="22" s="1"/>
  <c r="G39" i="22"/>
  <c r="G43" i="22" s="1"/>
  <c r="G45" i="22" s="1"/>
  <c r="G46" i="22" s="1"/>
  <c r="H38" i="21"/>
  <c r="H39" i="21" s="1"/>
  <c r="H43" i="21" s="1"/>
  <c r="H45" i="21" s="1"/>
  <c r="G39" i="21"/>
  <c r="G43" i="21" s="1"/>
  <c r="G45" i="21" s="1"/>
  <c r="H38" i="20"/>
  <c r="H39" i="20" s="1"/>
  <c r="H43" i="20" s="1"/>
  <c r="H45" i="20" s="1"/>
  <c r="G39" i="20"/>
  <c r="G43" i="20" s="1"/>
  <c r="G45" i="20" s="1"/>
  <c r="G46" i="20" s="1"/>
  <c r="G47" i="23" l="1"/>
  <c r="H46" i="23"/>
  <c r="H47" i="23" s="1"/>
  <c r="H46" i="22"/>
  <c r="H47" i="22" s="1"/>
  <c r="G46" i="21"/>
  <c r="H46" i="21" s="1"/>
  <c r="H47" i="21" s="1"/>
  <c r="G47" i="20"/>
  <c r="F10" i="14" s="1"/>
  <c r="H46" i="20"/>
  <c r="H47" i="20" s="1"/>
  <c r="H38" i="19"/>
  <c r="H39" i="19" s="1"/>
  <c r="H43" i="19" s="1"/>
  <c r="H45" i="19" s="1"/>
  <c r="G39" i="19"/>
  <c r="G43" i="19" s="1"/>
  <c r="G45" i="19" s="1"/>
  <c r="G46" i="19" s="1"/>
  <c r="H48" i="23" l="1"/>
  <c r="H49" i="23" s="1"/>
  <c r="H48" i="22"/>
  <c r="H49" i="22" s="1"/>
  <c r="H48" i="20"/>
  <c r="H49" i="20" s="1"/>
  <c r="G48" i="23"/>
  <c r="G49" i="23" s="1"/>
  <c r="G47" i="21"/>
  <c r="G48" i="20"/>
  <c r="G49" i="20" s="1"/>
  <c r="G47" i="22"/>
  <c r="F12" i="14" s="1"/>
  <c r="H48" i="21"/>
  <c r="H49" i="21" s="1"/>
  <c r="G47" i="19"/>
  <c r="H46" i="19"/>
  <c r="H47" i="19" s="1"/>
  <c r="H48" i="19" l="1"/>
  <c r="H49" i="19" s="1"/>
  <c r="K24" i="19"/>
  <c r="G48" i="22"/>
  <c r="G49" i="22" s="1"/>
  <c r="G48" i="21"/>
  <c r="G49" i="21" s="1"/>
  <c r="G48" i="19"/>
  <c r="G49" i="19" s="1"/>
  <c r="C13" i="14" l="1"/>
  <c r="H13" i="14" s="1"/>
  <c r="C12" i="14"/>
  <c r="H12" i="14" s="1"/>
  <c r="H11" i="14"/>
  <c r="C10" i="14"/>
  <c r="H10" i="14" s="1"/>
  <c r="D4" i="23"/>
  <c r="H62" i="22"/>
  <c r="D4" i="22"/>
  <c r="H62" i="21"/>
  <c r="D4" i="21"/>
  <c r="H62" i="20"/>
  <c r="D4" i="20"/>
  <c r="H9" i="14" l="1"/>
  <c r="H62" i="19"/>
  <c r="D4" i="19"/>
  <c r="F43" i="17" l="1"/>
  <c r="F45" i="17" s="1"/>
  <c r="F46" i="17" s="1"/>
  <c r="F47" i="17" s="1"/>
  <c r="D43" i="17"/>
  <c r="D45" i="17" s="1"/>
  <c r="E43" i="17"/>
  <c r="E45" i="17" s="1"/>
  <c r="G8" i="14" l="1"/>
  <c r="F8" i="14" s="1"/>
  <c r="D46" i="17"/>
  <c r="D47" i="17" s="1"/>
  <c r="D48" i="17" s="1"/>
  <c r="D49" i="17" s="1"/>
  <c r="F48" i="17"/>
  <c r="F49" i="17" s="1"/>
  <c r="E8" i="14"/>
  <c r="E46" i="17"/>
  <c r="H41" i="17"/>
  <c r="H42" i="17" s="1"/>
  <c r="G38" i="17" l="1"/>
  <c r="H38" i="17" s="1"/>
  <c r="H39" i="17" s="1"/>
  <c r="H43" i="17" s="1"/>
  <c r="H45" i="17" s="1"/>
  <c r="G42" i="17"/>
  <c r="E47" i="17"/>
  <c r="D8" i="14" s="1"/>
  <c r="G39" i="17" l="1"/>
  <c r="G43" i="17" s="1"/>
  <c r="G45" i="17" s="1"/>
  <c r="G46" i="17" s="1"/>
  <c r="G47" i="17" s="1"/>
  <c r="E48" i="17"/>
  <c r="E49" i="17" s="1"/>
  <c r="G48" i="17" l="1"/>
  <c r="G49" i="17" s="1"/>
  <c r="H46" i="17"/>
  <c r="H47" i="17" s="1"/>
  <c r="H48" i="17" l="1"/>
  <c r="H49" i="17" s="1"/>
  <c r="J24" i="17"/>
  <c r="C8" i="14"/>
  <c r="H62" i="17"/>
  <c r="D4" i="17"/>
  <c r="H8" i="14" l="1"/>
  <c r="F6" i="15"/>
  <c r="H7" i="14" l="1"/>
  <c r="F8" i="15" l="1"/>
  <c r="F7" i="15"/>
  <c r="F5" i="15"/>
  <c r="D22" i="13" l="1"/>
  <c r="C6" i="14" l="1"/>
  <c r="A7" i="14"/>
  <c r="A8" i="14" s="1"/>
  <c r="A9" i="14" s="1"/>
  <c r="A10" i="14" s="1"/>
  <c r="A11" i="14" s="1"/>
  <c r="A12" i="14" s="1"/>
  <c r="A13" i="14" s="1"/>
  <c r="H6" i="14" l="1"/>
  <c r="B6" i="14"/>
  <c r="G14" i="14"/>
  <c r="B7" i="14" l="1"/>
  <c r="B14" i="14" s="1"/>
  <c r="F14" i="14"/>
  <c r="C14" i="14" l="1"/>
  <c r="D14" i="14"/>
  <c r="E14" i="14"/>
  <c r="H14" i="14" l="1"/>
</calcChain>
</file>

<file path=xl/sharedStrings.xml><?xml version="1.0" encoding="utf-8"?>
<sst xmlns="http://schemas.openxmlformats.org/spreadsheetml/2006/main" count="508" uniqueCount="129">
  <si>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</si>
  <si>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</si>
  <si>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</si>
  <si>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</si>
  <si>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</si>
  <si>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</si>
  <si>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</si>
  <si>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</si>
  <si>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</si>
  <si>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</si>
  <si>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</si>
  <si>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</si>
  <si>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</si>
  <si>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</si>
  <si>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</si>
  <si>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ГСН-81-05-01-2001, прил.1 п.2.6</t>
  </si>
  <si>
    <t>Временные здания и сооружения - 3,9%*0,8 от СМР гл.1-7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</si>
  <si>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</si>
  <si>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</si>
  <si>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</si>
  <si>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</si>
  <si>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</si>
  <si>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</si>
  <si>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Итого по Главе 10. "Содержание службы заказчика. Строительный контроль"</t>
  </si>
  <si>
    <t>Итого по Главам 1-12</t>
  </si>
  <si>
    <t>НДС - 20%</t>
  </si>
  <si>
    <t>(должность, подпись, расшифровка)</t>
  </si>
  <si>
    <t>Заказчик</t>
  </si>
  <si>
    <t>(наименование организации)</t>
  </si>
  <si>
    <t xml:space="preserve">Сводный сметный расчет в сумме     </t>
  </si>
  <si>
    <t>(ссылка на документ об утверждении)</t>
  </si>
  <si>
    <t xml:space="preserve">Итого по сводному расчету с НДС </t>
  </si>
  <si>
    <t xml:space="preserve">тыс. руб. с НДС </t>
  </si>
  <si>
    <t xml:space="preserve">ПАО "МРСК Северо-Запада" </t>
  </si>
  <si>
    <t>02-01-01</t>
  </si>
  <si>
    <t>09-01-01</t>
  </si>
  <si>
    <t>09-01-02</t>
  </si>
  <si>
    <t>Проектные работы</t>
  </si>
  <si>
    <t>Договор</t>
  </si>
  <si>
    <t>Скворцов А.А.</t>
  </si>
  <si>
    <t xml:space="preserve">Подрядчик: </t>
  </si>
  <si>
    <t xml:space="preserve">Заказчик: </t>
  </si>
  <si>
    <t>"УТВЕРЖДЕН" "_____ "  ________________2020 г</t>
  </si>
  <si>
    <t>"_____"_____________2020 г.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</si>
  <si>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</si>
  <si>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12.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</si>
  <si>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 xml:space="preserve"> И.О Генерального директора АО «Энергосервис Северо-Запада»    </t>
  </si>
  <si>
    <t>Непредвиденные затраты - 1%</t>
  </si>
  <si>
    <t>Итого с учетом "Непредвиденные затраты"</t>
  </si>
  <si>
    <t>Итого в ценах  2022 г.</t>
  </si>
  <si>
    <t>Индекс-дефлятор на 2026 г. 1,051*1,048*1,047*1,047*1,047*1,047</t>
  </si>
  <si>
    <t>Индекс-дефлятор на 2026 г. 1,051*1,048*1,047*1,047*1,047*1,047*1,047</t>
  </si>
  <si>
    <t>на период 2020 - 2030 гг.</t>
  </si>
  <si>
    <t>Год реализации</t>
  </si>
  <si>
    <t>Кол-во узлов учета</t>
  </si>
  <si>
    <t>Всего, т.р. без НДС</t>
  </si>
  <si>
    <t>СМР</t>
  </si>
  <si>
    <t xml:space="preserve">Оборудование </t>
  </si>
  <si>
    <t>ИТОГО</t>
  </si>
  <si>
    <t>Всего, руб. с НДС</t>
  </si>
  <si>
    <t>ПИР</t>
  </si>
  <si>
    <t>Прочие затраты</t>
  </si>
  <si>
    <t>Сводка затрат</t>
  </si>
  <si>
    <t>по фактическим затратам</t>
  </si>
  <si>
    <t xml:space="preserve"> </t>
  </si>
  <si>
    <t>Год ввода в эксплуатацию</t>
  </si>
  <si>
    <t>2020</t>
  </si>
  <si>
    <t>Вид работ</t>
  </si>
  <si>
    <t>Стоимость  тыс. руб.</t>
  </si>
  <si>
    <t>Стоимость СМР</t>
  </si>
  <si>
    <t>Оборудование</t>
  </si>
  <si>
    <t>Прочее (аренда,ФОТ, проценты по кредиту и т.п.)</t>
  </si>
  <si>
    <t>Итого без НДС</t>
  </si>
  <si>
    <t>Оценка полной стоимости проекта с НДС</t>
  </si>
  <si>
    <t>Наименование</t>
  </si>
  <si>
    <t>Ед. изм.</t>
  </si>
  <si>
    <t>Кол-во</t>
  </si>
  <si>
    <t>Технические характеристики</t>
  </si>
  <si>
    <t>ИТОГО, тыс. руб. без НДС</t>
  </si>
  <si>
    <t>Источник ценовой информации</t>
  </si>
  <si>
    <t xml:space="preserve">цены на оборудование и материалы </t>
  </si>
  <si>
    <t>Меркурий 208 ART2-02 DPOHWF04</t>
  </si>
  <si>
    <t>Цена за ед.
без НДС</t>
  </si>
  <si>
    <t>шт.</t>
  </si>
  <si>
    <t xml:space="preserve">Прибор учета однофазный </t>
  </si>
  <si>
    <t>Меркурий 238 ART2-02 DPOHWF04</t>
  </si>
  <si>
    <t xml:space="preserve">Прибор учета трехфазный </t>
  </si>
  <si>
    <t>Составлен на основании: договора на полный комплекс работ от 02.09.2020 № ВЭ2.6-20/0210 подрядчик АО «Энергосервис Северо-Запада»</t>
  </si>
  <si>
    <t>Сводный расчет стоимости ИП K_003-34-1-05.20-0001</t>
  </si>
  <si>
    <t>Установка приборов учета в соответствии с Федеральным законом от 27.12.2018 № 522-ФЗ  при выходе из строя ПУ потребителя класс напряжения 0,22 (0,4) кВ (15059 шт.)</t>
  </si>
  <si>
    <t xml:space="preserve">СВОДНЫЙ СМЕТНЫЙ РАСЧЕТ СТОИМОСТИ СТРОИТЕЛЬСТВА №1 </t>
  </si>
  <si>
    <t>Установка приборов учета в соответствии с Федеральным законом от 27.12.2018 № 522-ФЗ при выходе из строя ПУ потребителя, класс напряжения 0,22 (0,4) кВ, Республика Карелия.</t>
  </si>
  <si>
    <t>Номер инвест пректа К_003-34-1-05.20-0001</t>
  </si>
  <si>
    <t>Составлена в ценах по состоянию на 4 квартал 2020г</t>
  </si>
  <si>
    <t>Монтаж однофазных счетчиков ( Меркурий 208 ART2-02 DPOHWF04)</t>
  </si>
  <si>
    <t>02-01-02</t>
  </si>
  <si>
    <t>Монтаж однофазных счетчиков (СЕ208 С4.846.2.OGR1.QYUDVFZ.GB01 SPDS)</t>
  </si>
  <si>
    <t>02-01-03</t>
  </si>
  <si>
    <t>Монтаж трехфазных счетчиков (Меркурий 238 ART2-02 DPOHWF04)</t>
  </si>
  <si>
    <t>02-01-04</t>
  </si>
  <si>
    <t>Монтаж трехфазных счетчиков (СЕ308 С36.746.OGR1.QYDUVFZ.GB01 SPDS)</t>
  </si>
  <si>
    <t>02-01-05</t>
  </si>
  <si>
    <t>Устройство  ответвлений к зданию (1 ф. счетчиков)</t>
  </si>
  <si>
    <t>02-01-06</t>
  </si>
  <si>
    <t>Устройство  ответвлений к зданию (3 ф. счетчиков)</t>
  </si>
  <si>
    <t>Пусконаладочные работы (1 ф счетчиков)</t>
  </si>
  <si>
    <t>Пусконаладочные работы (3 ф счетчиков)</t>
  </si>
  <si>
    <t xml:space="preserve">Первый Заместитель Генерального директора - директор Карельского филиала  ПАО «МРСК Северо-Запада» </t>
  </si>
  <si>
    <t>инвест проект К_003-34-1-05.20-0001</t>
  </si>
  <si>
    <t>СЕ208 С4.846.2.OGR1.QYUDVFZ.GB01 SPDS</t>
  </si>
  <si>
    <t>СЕ308 С36.746.OGR1.QYDUVFZ.GB01 SPDS</t>
  </si>
  <si>
    <t>Итого в ценах  2023г.</t>
  </si>
  <si>
    <t>Итого в ценах  2024г.</t>
  </si>
  <si>
    <t>Итого в ценах  2025г.</t>
  </si>
  <si>
    <t>Итого в ценах  2026г.</t>
  </si>
  <si>
    <t>Итого в ценах  2027г.</t>
  </si>
  <si>
    <t xml:space="preserve"> K_003-34-1-05.20-0001</t>
  </si>
  <si>
    <t>НДС 20%</t>
  </si>
  <si>
    <t>КП "Северный кабель" 
от 09.09.2020 №ПО115.1-09/20</t>
  </si>
  <si>
    <t>Шадрин А.Г.</t>
  </si>
  <si>
    <t>Приказ Карельского филиала ПАО "Россети Северо-Запад"  от 07.04.2022 №124</t>
  </si>
  <si>
    <t>Затраты на содержание службы заказчика-застройщика - 10,39% от итогов глав 1-9,12</t>
  </si>
  <si>
    <t>Приказ Карельского филиала ПАО "Россети Северо-Запад"  от 09.08.2022 №301</t>
  </si>
  <si>
    <t>Затраты на содержание службы заказчика-застройщика - 11,24% от итогов глав 1-9,12</t>
  </si>
  <si>
    <t>Стоимость   руб.</t>
  </si>
  <si>
    <t xml:space="preserve">Индекс-дефлятор на 2022 г. </t>
  </si>
  <si>
    <t xml:space="preserve">Индекс-дефлятор на 2023 г. </t>
  </si>
  <si>
    <t>Индекс-дефлятор на 2024 г.</t>
  </si>
  <si>
    <t xml:space="preserve">Индекс-дефлятор на 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</si>
</sst>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\ _₽_-;\-* #,##0.00\ _₽_-;_-* &quot;-&quot;??\ _₽_-;_-@_-"/>
    <numFmt numFmtId="164" formatCode="#,##0.00\ _₽"/>
    <numFmt numFmtId="165" formatCode="#,##0.000\ _₽"/>
    <numFmt numFmtId="166" formatCode="#,##0.00000"/>
    <numFmt numFmtId="167" formatCode="#,##0.00000000000000"/>
    <numFmt numFmtId="168" formatCode="#,##0.00_ ;\-#,##0.00\ 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8"/>
      <name val="Arial"/>
      <family val="2"/>
    </font>
    <font>
      <sz val="12"/>
      <color indexed="8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0" fontId="3" fillId="0" borderId="0"/>
    <xf numFmtId="0" fontId="4" fillId="0" borderId="0">
      <alignment horizontal="left" vertical="top"/>
    </xf>
    <xf numFmtId="0" fontId="4" fillId="0" borderId="0">
      <alignment horizontal="right" vertical="top"/>
    </xf>
    <xf numFmtId="0" fontId="4" fillId="0" borderId="0">
      <alignment horizontal="left" vertical="top"/>
    </xf>
    <xf numFmtId="0" fontId="2" fillId="0" borderId="0"/>
    <xf numFmtId="0" fontId="3" fillId="0" borderId="0"/>
    <xf numFmtId="0" fontId="2" fillId="0" borderId="0"/>
    <xf numFmtId="0" fontId="2" fillId="0" borderId="0"/>
    <xf numFmtId="0" fontId="24" fillId="0" borderId="0"/>
    <xf numFmtId="0" fontId="26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50">
    <xf numFmtId="0" fontId="0" fillId="0" borderId="0" xfId="0"/>
    <xf numFmtId="0" fontId="5" fillId="0" borderId="2" xfId="0" applyFont="1" applyBorder="1" applyAlignment="1">
      <alignment horizontal="center" vertical="top" wrapText="1"/>
    </xf>
    <xf numFmtId="49" fontId="6" fillId="0" borderId="0" xfId="0" applyNumberFormat="1" applyFont="1" applyAlignment="1">
      <alignment horizontal="left" vertical="top"/>
    </xf>
    <xf numFmtId="0" fontId="6" fillId="0" borderId="1" xfId="0" applyFont="1" applyBorder="1" applyAlignment="1">
      <alignment vertical="top" wrapText="1"/>
    </xf>
    <xf numFmtId="0" fontId="7" fillId="0" borderId="0" xfId="0" applyFont="1"/>
    <xf numFmtId="0" fontId="5" fillId="0" borderId="0" xfId="0" applyFont="1" applyAlignment="1">
      <alignment horizontal="left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5" fillId="0" borderId="0" xfId="0" applyFont="1"/>
    <xf numFmtId="165" fontId="6" fillId="0" borderId="0" xfId="0" applyNumberFormat="1" applyFont="1" applyAlignment="1">
      <alignment horizontal="center"/>
    </xf>
    <xf numFmtId="0" fontId="9" fillId="0" borderId="0" xfId="0" applyFont="1" applyAlignment="1"/>
    <xf numFmtId="0" fontId="8" fillId="0" borderId="0" xfId="0" quotePrefix="1" applyFont="1" applyFill="1" applyBorder="1" applyAlignment="1">
      <alignment vertical="top" wrapText="1"/>
    </xf>
    <xf numFmtId="0" fontId="6" fillId="0" borderId="0" xfId="0" applyFont="1"/>
    <xf numFmtId="0" fontId="5" fillId="0" borderId="0" xfId="0" applyFont="1" applyFill="1" applyAlignment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vertical="top"/>
    </xf>
    <xf numFmtId="49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5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right" vertical="top" wrapText="1"/>
    </xf>
    <xf numFmtId="2" fontId="5" fillId="0" borderId="2" xfId="0" applyNumberFormat="1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horizontal="right" vertical="top"/>
    </xf>
    <xf numFmtId="0" fontId="5" fillId="0" borderId="2" xfId="0" applyFont="1" applyFill="1" applyBorder="1" applyAlignment="1">
      <alignment horizontal="right" vertical="top" wrapText="1"/>
    </xf>
    <xf numFmtId="2" fontId="7" fillId="0" borderId="2" xfId="0" applyNumberFormat="1" applyFont="1" applyFill="1" applyBorder="1" applyAlignment="1">
      <alignment horizontal="right" vertical="top" wrapText="1"/>
    </xf>
    <xf numFmtId="0" fontId="7" fillId="0" borderId="2" xfId="0" applyFont="1" applyFill="1" applyBorder="1" applyAlignment="1">
      <alignment horizontal="right" vertical="top"/>
    </xf>
    <xf numFmtId="164" fontId="5" fillId="0" borderId="2" xfId="0" applyNumberFormat="1" applyFont="1" applyFill="1" applyBorder="1" applyAlignment="1">
      <alignment horizontal="right" vertical="top"/>
    </xf>
    <xf numFmtId="164" fontId="7" fillId="0" borderId="2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horizontal="right" vertical="top"/>
    </xf>
    <xf numFmtId="0" fontId="16" fillId="2" borderId="0" xfId="0" applyFont="1" applyFill="1" applyAlignment="1">
      <alignment vertical="top" wrapText="1"/>
    </xf>
    <xf numFmtId="0" fontId="16" fillId="0" borderId="0" xfId="0" applyFont="1"/>
    <xf numFmtId="0" fontId="18" fillId="0" borderId="0" xfId="0" applyFont="1"/>
    <xf numFmtId="0" fontId="5" fillId="0" borderId="0" xfId="0" applyFont="1" applyAlignment="1">
      <alignment horizontal="center" vertical="top"/>
    </xf>
    <xf numFmtId="49" fontId="5" fillId="0" borderId="2" xfId="0" applyNumberFormat="1" applyFont="1" applyBorder="1" applyAlignment="1">
      <alignment horizontal="left" vertical="top"/>
    </xf>
    <xf numFmtId="0" fontId="7" fillId="0" borderId="2" xfId="0" applyFont="1" applyBorder="1" applyAlignment="1">
      <alignment horizontal="center" vertical="top"/>
    </xf>
    <xf numFmtId="0" fontId="5" fillId="0" borderId="0" xfId="0" quotePrefix="1" applyFont="1"/>
    <xf numFmtId="49" fontId="5" fillId="0" borderId="2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right" vertical="top" wrapText="1"/>
    </xf>
    <xf numFmtId="165" fontId="5" fillId="0" borderId="2" xfId="0" applyNumberFormat="1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20" fillId="0" borderId="0" xfId="5" applyFont="1"/>
    <xf numFmtId="0" fontId="5" fillId="0" borderId="2" xfId="6" applyFont="1" applyBorder="1" applyAlignment="1">
      <alignment horizontal="center" vertical="center" wrapText="1"/>
    </xf>
    <xf numFmtId="3" fontId="5" fillId="0" borderId="2" xfId="6" applyNumberFormat="1" applyFont="1" applyBorder="1" applyAlignment="1">
      <alignment horizontal="center" vertical="center" wrapText="1"/>
    </xf>
    <xf numFmtId="4" fontId="5" fillId="0" borderId="2" xfId="6" applyNumberFormat="1" applyFont="1" applyBorder="1" applyAlignment="1">
      <alignment horizontal="center" vertical="center" wrapText="1"/>
    </xf>
    <xf numFmtId="166" fontId="7" fillId="0" borderId="2" xfId="6" applyNumberFormat="1" applyFont="1" applyBorder="1" applyAlignment="1">
      <alignment horizontal="center" vertical="center" wrapText="1"/>
    </xf>
    <xf numFmtId="3" fontId="7" fillId="0" borderId="2" xfId="6" applyNumberFormat="1" applyFont="1" applyBorder="1" applyAlignment="1">
      <alignment horizontal="center" vertical="center" wrapText="1"/>
    </xf>
    <xf numFmtId="4" fontId="7" fillId="0" borderId="2" xfId="6" applyNumberFormat="1" applyFont="1" applyBorder="1" applyAlignment="1">
      <alignment horizontal="center" vertical="center" wrapText="1"/>
    </xf>
    <xf numFmtId="166" fontId="20" fillId="0" borderId="0" xfId="5" applyNumberFormat="1" applyFont="1"/>
    <xf numFmtId="166" fontId="7" fillId="0" borderId="0" xfId="6" applyNumberFormat="1" applyFont="1" applyBorder="1" applyAlignment="1">
      <alignment horizontal="center" wrapText="1"/>
    </xf>
    <xf numFmtId="3" fontId="7" fillId="0" borderId="0" xfId="6" applyNumberFormat="1" applyFont="1" applyBorder="1" applyAlignment="1">
      <alignment horizontal="center" wrapText="1"/>
    </xf>
    <xf numFmtId="0" fontId="3" fillId="0" borderId="0" xfId="6" applyAlignment="1">
      <alignment wrapText="1"/>
    </xf>
    <xf numFmtId="0" fontId="25" fillId="0" borderId="0" xfId="9" applyFont="1" applyAlignment="1" applyProtection="1">
      <alignment horizontal="left" vertical="center"/>
      <protection locked="0"/>
    </xf>
    <xf numFmtId="164" fontId="5" fillId="0" borderId="2" xfId="6" applyNumberFormat="1" applyFont="1" applyBorder="1" applyAlignment="1">
      <alignment horizontal="center" vertical="center" wrapText="1"/>
    </xf>
    <xf numFmtId="0" fontId="26" fillId="0" borderId="0" xfId="10" applyAlignment="1">
      <alignment horizontal="left"/>
    </xf>
    <xf numFmtId="0" fontId="26" fillId="0" borderId="0" xfId="10"/>
    <xf numFmtId="0" fontId="28" fillId="0" borderId="0" xfId="10" applyNumberFormat="1" applyFont="1" applyAlignment="1">
      <alignment horizontal="center" vertical="center"/>
    </xf>
    <xf numFmtId="0" fontId="27" fillId="0" borderId="8" xfId="10" applyNumberFormat="1" applyFont="1" applyBorder="1" applyAlignment="1">
      <alignment horizontal="center" vertical="center" wrapText="1"/>
    </xf>
    <xf numFmtId="0" fontId="21" fillId="0" borderId="0" xfId="0" applyFont="1"/>
    <xf numFmtId="0" fontId="22" fillId="0" borderId="2" xfId="0" applyFont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center" vertical="center" wrapText="1"/>
    </xf>
    <xf numFmtId="4" fontId="22" fillId="0" borderId="2" xfId="0" applyNumberFormat="1" applyFont="1" applyFill="1" applyBorder="1" applyAlignment="1">
      <alignment horizontal="center" vertical="center" wrapText="1"/>
    </xf>
    <xf numFmtId="4" fontId="21" fillId="0" borderId="0" xfId="0" applyNumberFormat="1" applyFont="1"/>
    <xf numFmtId="0" fontId="23" fillId="0" borderId="0" xfId="0" quotePrefix="1" applyFont="1"/>
    <xf numFmtId="3" fontId="5" fillId="0" borderId="2" xfId="6" applyNumberFormat="1" applyFont="1" applyFill="1" applyBorder="1" applyAlignment="1">
      <alignment horizontal="center" vertical="center" wrapText="1"/>
    </xf>
    <xf numFmtId="4" fontId="5" fillId="0" borderId="2" xfId="6" applyNumberFormat="1" applyFont="1" applyFill="1" applyBorder="1" applyAlignment="1">
      <alignment horizontal="center" vertical="center" wrapText="1"/>
    </xf>
    <xf numFmtId="0" fontId="21" fillId="0" borderId="0" xfId="0" quotePrefix="1" applyFont="1"/>
    <xf numFmtId="0" fontId="5" fillId="0" borderId="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/>
    </xf>
    <xf numFmtId="0" fontId="6" fillId="0" borderId="0" xfId="0" applyFont="1" applyAlignment="1">
      <alignment horizontal="left" vertical="top"/>
    </xf>
    <xf numFmtId="3" fontId="11" fillId="0" borderId="0" xfId="5" applyNumberFormat="1" applyFont="1" applyAlignment="1">
      <alignment horizontal="center"/>
    </xf>
    <xf numFmtId="166" fontId="5" fillId="0" borderId="0" xfId="0" applyNumberFormat="1" applyFont="1"/>
    <xf numFmtId="166" fontId="5" fillId="0" borderId="0" xfId="0" applyNumberFormat="1" applyFont="1" applyAlignment="1">
      <alignment horizontal="right" vertical="top"/>
    </xf>
    <xf numFmtId="43" fontId="5" fillId="0" borderId="2" xfId="11" applyFont="1" applyBorder="1" applyAlignment="1">
      <alignment horizontal="right" vertical="top" wrapText="1"/>
    </xf>
    <xf numFmtId="43" fontId="7" fillId="0" borderId="2" xfId="11" applyFont="1" applyBorder="1" applyAlignment="1">
      <alignment horizontal="right" vertical="top" wrapText="1"/>
    </xf>
    <xf numFmtId="43" fontId="7" fillId="0" borderId="2" xfId="11" applyFont="1" applyFill="1" applyBorder="1" applyAlignment="1">
      <alignment horizontal="right" vertical="top" wrapText="1"/>
    </xf>
    <xf numFmtId="43" fontId="5" fillId="0" borderId="2" xfId="11" applyFont="1" applyBorder="1" applyAlignment="1">
      <alignment horizontal="right" vertical="top"/>
    </xf>
    <xf numFmtId="43" fontId="5" fillId="0" borderId="2" xfId="11" applyFont="1" applyFill="1" applyBorder="1" applyAlignment="1">
      <alignment horizontal="right" vertical="top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43" fontId="5" fillId="0" borderId="0" xfId="0" applyNumberFormat="1" applyFont="1"/>
    <xf numFmtId="43" fontId="5" fillId="0" borderId="0" xfId="0" applyNumberFormat="1" applyFont="1" applyAlignment="1">
      <alignment vertical="center"/>
    </xf>
    <xf numFmtId="43" fontId="5" fillId="0" borderId="0" xfId="11" applyFont="1" applyAlignment="1">
      <alignment vertical="center"/>
    </xf>
    <xf numFmtId="43" fontId="7" fillId="0" borderId="0" xfId="11" applyFont="1"/>
    <xf numFmtId="167" fontId="5" fillId="0" borderId="2" xfId="0" applyNumberFormat="1" applyFont="1" applyBorder="1" applyAlignment="1">
      <alignment horizontal="center" vertical="top" wrapText="1"/>
    </xf>
    <xf numFmtId="43" fontId="7" fillId="0" borderId="0" xfId="0" applyNumberFormat="1" applyFont="1"/>
    <xf numFmtId="43" fontId="5" fillId="0" borderId="0" xfId="11" applyFont="1"/>
    <xf numFmtId="168" fontId="7" fillId="0" borderId="0" xfId="0" applyNumberFormat="1" applyFont="1"/>
    <xf numFmtId="168" fontId="5" fillId="0" borderId="0" xfId="0" applyNumberFormat="1" applyFont="1"/>
    <xf numFmtId="166" fontId="27" fillId="0" borderId="9" xfId="10" applyNumberFormat="1" applyFont="1" applyBorder="1" applyAlignment="1">
      <alignment horizontal="right"/>
    </xf>
    <xf numFmtId="166" fontId="32" fillId="0" borderId="9" xfId="10" applyNumberFormat="1" applyFont="1" applyBorder="1" applyAlignment="1">
      <alignment horizontal="right"/>
    </xf>
    <xf numFmtId="0" fontId="19" fillId="0" borderId="0" xfId="5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7" fillId="0" borderId="9" xfId="10" applyNumberFormat="1" applyFont="1" applyBorder="1" applyAlignment="1">
      <alignment horizontal="left"/>
    </xf>
    <xf numFmtId="0" fontId="27" fillId="0" borderId="7" xfId="10" applyNumberFormat="1" applyFont="1" applyBorder="1" applyAlignment="1">
      <alignment horizontal="center" vertical="center" wrapText="1"/>
    </xf>
    <xf numFmtId="0" fontId="27" fillId="0" borderId="9" xfId="10" applyNumberFormat="1" applyFont="1" applyBorder="1" applyAlignment="1">
      <alignment horizontal="left" vertical="center"/>
    </xf>
    <xf numFmtId="0" fontId="27" fillId="0" borderId="9" xfId="10" applyNumberFormat="1" applyFont="1" applyBorder="1" applyAlignment="1">
      <alignment horizontal="left" wrapText="1"/>
    </xf>
    <xf numFmtId="0" fontId="31" fillId="0" borderId="0" xfId="10" applyNumberFormat="1" applyFont="1" applyAlignment="1">
      <alignment horizontal="center" vertical="center"/>
    </xf>
    <xf numFmtId="0" fontId="27" fillId="0" borderId="0" xfId="10" applyNumberFormat="1" applyFont="1" applyAlignment="1">
      <alignment horizontal="center"/>
    </xf>
    <xf numFmtId="0" fontId="28" fillId="0" borderId="0" xfId="10" applyNumberFormat="1" applyFont="1" applyAlignment="1">
      <alignment horizontal="center" vertical="top" wrapText="1"/>
    </xf>
    <xf numFmtId="0" fontId="29" fillId="0" borderId="0" xfId="10" applyNumberFormat="1" applyFont="1" applyAlignment="1">
      <alignment horizontal="center" vertical="center" wrapText="1"/>
    </xf>
    <xf numFmtId="0" fontId="30" fillId="0" borderId="0" xfId="10" applyNumberFormat="1" applyFont="1" applyAlignment="1">
      <alignment horizontal="center" vertical="center" wrapText="1"/>
    </xf>
    <xf numFmtId="0" fontId="33" fillId="0" borderId="0" xfId="0" applyFont="1" applyAlignment="1">
      <alignment horizontal="left" wrapText="1"/>
    </xf>
    <xf numFmtId="0" fontId="17" fillId="2" borderId="0" xfId="0" applyFont="1" applyFill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13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vertical="top"/>
    </xf>
    <xf numFmtId="0" fontId="16" fillId="2" borderId="0" xfId="0" applyFont="1" applyFill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right" vertical="top" wrapText="1"/>
    </xf>
    <xf numFmtId="49" fontId="7" fillId="0" borderId="4" xfId="0" applyNumberFormat="1" applyFont="1" applyFill="1" applyBorder="1" applyAlignment="1">
      <alignment horizontal="right" vertical="top" wrapText="1"/>
    </xf>
    <xf numFmtId="49" fontId="7" fillId="0" borderId="2" xfId="0" applyNumberFormat="1" applyFont="1" applyBorder="1" applyAlignment="1">
      <alignment horizontal="right" vertical="top" wrapText="1"/>
    </xf>
    <xf numFmtId="0" fontId="7" fillId="0" borderId="2" xfId="0" applyFont="1" applyBorder="1" applyAlignment="1">
      <alignment vertical="top" wrapText="1"/>
    </xf>
    <xf numFmtId="49" fontId="7" fillId="0" borderId="3" xfId="0" applyNumberFormat="1" applyFont="1" applyFill="1" applyBorder="1" applyAlignment="1">
      <alignment horizontal="right" vertical="center" wrapText="1"/>
    </xf>
    <xf numFmtId="49" fontId="7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15" fillId="0" borderId="10" xfId="2" quotePrefix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8" fillId="0" borderId="0" xfId="0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/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14" fillId="0" borderId="0" xfId="0" applyFont="1" applyFill="1" applyBorder="1" applyAlignment="1">
      <alignment horizontal="center" vertical="center"/>
    </xf>
  </cellXfs>
  <cellStyles count="15">
    <cellStyle name="S11" xfId="4" xr:uid="{00000000-0005-0000-0000-000000000000}"/>
    <cellStyle name="S7" xfId="2" xr:uid="{00000000-0005-0000-0000-000001000000}"/>
    <cellStyle name="S8" xfId="3" xr:uid="{00000000-0005-0000-0000-000002000000}"/>
    <cellStyle name="Обычный" xfId="0" builtinId="0"/>
    <cellStyle name="Обычный 2" xfId="5" xr:uid="{00000000-0005-0000-0000-000004000000}"/>
    <cellStyle name="Обычный 2 2" xfId="6" xr:uid="{00000000-0005-0000-0000-000005000000}"/>
    <cellStyle name="Обычный 2 3" xfId="12" xr:uid="{00000000-0005-0000-0000-000004000000}"/>
    <cellStyle name="Обычный 3" xfId="1" xr:uid="{00000000-0005-0000-0000-000006000000}"/>
    <cellStyle name="Обычный 4" xfId="10" xr:uid="{00000000-0005-0000-0000-000007000000}"/>
    <cellStyle name="Обычный 4 2" xfId="7" xr:uid="{00000000-0005-0000-0000-000008000000}"/>
    <cellStyle name="Обычный 4 2 2" xfId="8" xr:uid="{00000000-0005-0000-0000-000009000000}"/>
    <cellStyle name="Обычный 4 2 2 2" xfId="14" xr:uid="{00000000-0005-0000-0000-000009000000}"/>
    <cellStyle name="Обычный 4 2 3" xfId="13" xr:uid="{00000000-0005-0000-0000-000008000000}"/>
    <cellStyle name="Стиль 1" xfId="9" xr:uid="{00000000-0005-0000-0000-00000A000000}"/>
    <cellStyle name="Финансовый" xfId="1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\&#1087;&#1088;&#1086;&#1077;&#1082;&#1090;%20&#1080;&#1085;&#1074;&#1077;&#1089;&#1090;&#1080;&#1094;&#1080;&#1086;&#1085;&#1085;&#1086;&#1081;%20&#1087;&#1088;&#1086;&#1075;&#1088;&#1072;&#1084;&#1084;&#1099;\&#1044;&#1086;&#1083;&#1075;&#1086;&#1089;&#1088;&#1086;&#1095;&#1085;&#1072;&#1103;%20&#1048;&#1055;&#1056;\2021-2025\&#1071;&#1085;&#1074;&#1072;&#1088;&#1100;%202021\&#1055;&#1088;&#1080;&#1083;&#1086;&#1078;&#1077;&#1085;&#1080;&#1077;_24_&#1103;&#1085;&#1074;&#1072;&#1088;&#1100;%202021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1%20&#1054;&#1041;&#1066;&#1045;&#1050;&#1058;&#1067;\107%20&#1048;&#1055;&#1056;%20&#1069;&#1057;&#1050;%20&#1040;&#1048;&#1048;&#1057;&#1050;&#1059;&#1069;\5%20&#1041;&#1102;&#1076;&#1078;&#1077;&#1090;%20&#1080;%20&#1057;&#1084;&#1077;&#1090;&#1099;\&#1057;&#1084;&#1077;&#1090;&#1099;\&#1050;&#1040;&#1056;&#1045;&#1051;&#1048;&#1071;\+&#1057;&#1057;&#1056;%20&#1085;&#1072;%204%20&#1082;&#1074;%202020%20(&#1050;&#1072;&#1088;&#1077;&#1083;&#1080;&#1103;)%20&#1050;_003-34-1-05.20-0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РСК"/>
      <sheetName val="Фин-е"/>
      <sheetName val="Проверка_фин"/>
      <sheetName val="КЗ в проекте и в БП !!!"/>
      <sheetName val="проверка ПУ В ЛТП"/>
      <sheetName val="Проверка_утв.план"/>
      <sheetName val="Проверка_факт"/>
      <sheetName val="Проверка_ФОТ,НЗС,КЗ,ДЗ"/>
      <sheetName val="Слож.случаи"/>
      <sheetName val="Структура ГИ"/>
      <sheetName val="Цифровизация ИПР"/>
      <sheetName val="Справочник"/>
    </sheetNames>
    <sheetDataSet>
      <sheetData sheetId="0" refreshError="1">
        <row r="620">
          <cell r="AD620">
            <v>46892.247009999999</v>
          </cell>
          <cell r="GS620">
            <v>0</v>
          </cell>
          <cell r="RR620">
            <v>0</v>
          </cell>
          <cell r="SC62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 сметный расчет"/>
    </sheetNames>
    <sheetDataSet>
      <sheetData sheetId="0">
        <row r="42">
          <cell r="H42">
            <v>1976.4715799999999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workbookViewId="0">
      <selection activeCell="C24" sqref="C24"/>
    </sheetView>
  </sheetViews>
  <sheetFormatPr defaultColWidth="9.140625" defaultRowHeight="14.25" x14ac:dyDescent="0.2"/>
  <cols>
    <col min="1" max="1" width="18" style="46" customWidth="1"/>
    <col min="2" max="2" width="16" style="46" customWidth="1"/>
    <col min="3" max="3" width="18.42578125" style="46" customWidth="1"/>
    <col min="4" max="4" width="14.42578125" style="46" customWidth="1"/>
    <col min="5" max="5" width="16" style="46" customWidth="1"/>
    <col min="6" max="7" width="15.28515625" style="46" customWidth="1"/>
    <col min="8" max="8" width="23.140625" style="46" customWidth="1"/>
    <col min="9" max="10" width="9.140625" style="46"/>
    <col min="11" max="11" width="20.85546875" style="46" bestFit="1" customWidth="1"/>
    <col min="12" max="16384" width="9.140625" style="46"/>
  </cols>
  <sheetData>
    <row r="1" spans="1:11" ht="15" x14ac:dyDescent="0.2">
      <c r="A1" s="100" t="s">
        <v>88</v>
      </c>
      <c r="B1" s="100"/>
      <c r="C1" s="100"/>
      <c r="D1" s="100"/>
      <c r="E1" s="100"/>
      <c r="F1" s="100"/>
      <c r="G1" s="101"/>
      <c r="H1" s="101"/>
    </row>
    <row r="2" spans="1:11" ht="15" x14ac:dyDescent="0.2">
      <c r="A2" s="100" t="s">
        <v>89</v>
      </c>
      <c r="B2" s="100"/>
      <c r="C2" s="100"/>
      <c r="D2" s="100"/>
      <c r="E2" s="100"/>
      <c r="F2" s="100"/>
      <c r="G2" s="101"/>
      <c r="H2" s="101"/>
    </row>
    <row r="3" spans="1:11" ht="15" x14ac:dyDescent="0.2">
      <c r="A3" s="100" t="s">
        <v>52</v>
      </c>
      <c r="B3" s="100"/>
      <c r="C3" s="100"/>
      <c r="D3" s="100"/>
      <c r="E3" s="100"/>
      <c r="F3" s="100"/>
      <c r="G3" s="101"/>
      <c r="H3" s="101"/>
    </row>
    <row r="5" spans="1:11" ht="25.5" x14ac:dyDescent="0.2">
      <c r="A5" s="47" t="s">
        <v>53</v>
      </c>
      <c r="B5" s="47" t="s">
        <v>54</v>
      </c>
      <c r="C5" s="47" t="s">
        <v>55</v>
      </c>
      <c r="D5" s="47" t="s">
        <v>56</v>
      </c>
      <c r="E5" s="47" t="s">
        <v>57</v>
      </c>
      <c r="F5" s="47" t="s">
        <v>61</v>
      </c>
      <c r="G5" s="47" t="s">
        <v>60</v>
      </c>
      <c r="H5" s="47" t="s">
        <v>59</v>
      </c>
    </row>
    <row r="6" spans="1:11" x14ac:dyDescent="0.2">
      <c r="A6" s="47">
        <v>2020</v>
      </c>
      <c r="B6" s="70">
        <f>ROUND(3982/(C6+C7)*C6,0)</f>
        <v>370</v>
      </c>
      <c r="C6" s="71">
        <f>'2020  факт'!D13*1000</f>
        <v>7008456.3799999999</v>
      </c>
      <c r="D6" s="71">
        <f>'2020  факт'!D10*1000</f>
        <v>5787885.8499999996</v>
      </c>
      <c r="E6" s="71">
        <f>'2020  факт'!D11*1000</f>
        <v>0</v>
      </c>
      <c r="F6" s="71">
        <f>'2020  факт'!D12*1000</f>
        <v>176335.59</v>
      </c>
      <c r="G6" s="71">
        <f>'2020  факт'!D9*1000</f>
        <v>1044234.94</v>
      </c>
      <c r="H6" s="71">
        <f>ROUND(C6*1.2,2)</f>
        <v>8410147.6600000001</v>
      </c>
    </row>
    <row r="7" spans="1:11" x14ac:dyDescent="0.2">
      <c r="A7" s="47">
        <f>A6+1</f>
        <v>2021</v>
      </c>
      <c r="B7" s="48">
        <f>3982-B6</f>
        <v>3612</v>
      </c>
      <c r="C7" s="49">
        <f>'2021  факт'!D13*1000</f>
        <v>68331785.989999995</v>
      </c>
      <c r="D7" s="49">
        <f>'2021  факт'!D10*1000</f>
        <v>60308150.25</v>
      </c>
      <c r="E7" s="49">
        <f>'2021  факт'!D11*1000</f>
        <v>574882.28</v>
      </c>
      <c r="F7" s="49">
        <f>'2021  факт'!D12*1000</f>
        <v>6441634.7999999998</v>
      </c>
      <c r="G7" s="49">
        <f>'2021  факт'!D9*1000</f>
        <v>1007118.66</v>
      </c>
      <c r="H7" s="71">
        <f t="shared" ref="H7:H13" si="0">ROUND(C7*1.2,2)</f>
        <v>81998143.189999998</v>
      </c>
    </row>
    <row r="8" spans="1:11" x14ac:dyDescent="0.2">
      <c r="A8" s="47">
        <f t="shared" ref="A8:A13" si="1">A7+1</f>
        <v>2022</v>
      </c>
      <c r="B8" s="48">
        <f>'2022г'!I19+'2022г'!I20+'2022г'!I21+'2022г'!I22</f>
        <v>346</v>
      </c>
      <c r="C8" s="58">
        <f>'2022г'!H47</f>
        <v>12087406.810000001</v>
      </c>
      <c r="D8" s="58">
        <f>'2022г'!D47+'2022г'!E47</f>
        <v>3882931.43</v>
      </c>
      <c r="E8" s="58">
        <f>'2022г'!F47</f>
        <v>6190489.0499999998</v>
      </c>
      <c r="F8" s="58">
        <f>'2022г'!G47-Свод!G8</f>
        <v>1296139.42</v>
      </c>
      <c r="G8" s="58">
        <f>ROUND('2022г'!G41*1.01*'2022г'!G44,2)</f>
        <v>717846.91</v>
      </c>
      <c r="H8" s="71">
        <f t="shared" si="0"/>
        <v>14504888.17</v>
      </c>
    </row>
    <row r="9" spans="1:11" x14ac:dyDescent="0.2">
      <c r="A9" s="47">
        <f t="shared" si="1"/>
        <v>2023</v>
      </c>
      <c r="B9" s="48">
        <f>'2023г'!I19+'2023г'!I20+'2023г'!I21+'2023г'!I22</f>
        <v>1509</v>
      </c>
      <c r="C9" s="58">
        <f>'2023г'!H47</f>
        <v>36699536.719999999</v>
      </c>
      <c r="D9" s="58">
        <f>'2023г'!D47+'2023г'!E47</f>
        <v>10460225.119999999</v>
      </c>
      <c r="E9" s="58">
        <f>'2023г'!F47</f>
        <v>19650383.280000001</v>
      </c>
      <c r="F9" s="58">
        <f>'2023г'!G47-Свод!G9</f>
        <v>4433186.54</v>
      </c>
      <c r="G9" s="58">
        <f>ROUND('2023г'!G41*1.01*'2023г'!G44,2)</f>
        <v>2155741.7799999998</v>
      </c>
      <c r="H9" s="71">
        <f t="shared" si="0"/>
        <v>44039444.060000002</v>
      </c>
    </row>
    <row r="10" spans="1:11" x14ac:dyDescent="0.2">
      <c r="A10" s="47">
        <f t="shared" si="1"/>
        <v>2024</v>
      </c>
      <c r="B10" s="76">
        <f>'2024г'!I19+'2024г'!I20+'2024г'!I21+'2024г'!I22</f>
        <v>1378</v>
      </c>
      <c r="C10" s="58">
        <f>'2024г'!H47</f>
        <v>35672139.119999997</v>
      </c>
      <c r="D10" s="58">
        <f>'2024г'!D47+'2024г'!E47</f>
        <v>9870371.0199999996</v>
      </c>
      <c r="E10" s="58">
        <f>'2024г'!F47</f>
        <v>19293271.219999999</v>
      </c>
      <c r="F10" s="58">
        <f>'2024г'!G47-Свод!G10+0.01</f>
        <v>4298880.1100000003</v>
      </c>
      <c r="G10" s="58">
        <f>ROUND('2024г'!G41*1.01*'2024г'!G44,2)</f>
        <v>2209616.77</v>
      </c>
      <c r="H10" s="71">
        <f>ROUND(C10*1.2,2)</f>
        <v>42806566.939999998</v>
      </c>
    </row>
    <row r="11" spans="1:11" x14ac:dyDescent="0.2">
      <c r="A11" s="47">
        <f t="shared" si="1"/>
        <v>2025</v>
      </c>
      <c r="B11" s="48">
        <f>'2025г'!I19+'2025г'!I20+'2025г'!I21+'2025г'!I22</f>
        <v>1244</v>
      </c>
      <c r="C11" s="58">
        <f>'2025г'!H47</f>
        <v>34360192.759999998</v>
      </c>
      <c r="D11" s="58">
        <f>'2025г'!D47+'2025г'!E47</f>
        <v>9564299.5800000001</v>
      </c>
      <c r="E11" s="58">
        <f>'2025г'!F47</f>
        <v>18649035.079999998</v>
      </c>
      <c r="F11" s="58">
        <f>'2025г'!G47-Свод!G11-0.01</f>
        <v>4129506.66</v>
      </c>
      <c r="G11" s="58">
        <f>ROUND('2025г'!G41*1.01*'2025г'!G44,2)</f>
        <v>2017351.44</v>
      </c>
      <c r="H11" s="71">
        <f t="shared" si="0"/>
        <v>41232231.310000002</v>
      </c>
    </row>
    <row r="12" spans="1:11" x14ac:dyDescent="0.2">
      <c r="A12" s="47">
        <f t="shared" si="1"/>
        <v>2026</v>
      </c>
      <c r="B12" s="48">
        <f>'2026г'!I19+'2026г'!I20+'2026г'!I21+'2026г'!I22</f>
        <v>461</v>
      </c>
      <c r="C12" s="58">
        <f>'2026г'!H47</f>
        <v>10756317.720000001</v>
      </c>
      <c r="D12" s="58">
        <f>'2026г'!D47+'2026г'!E47</f>
        <v>1852357.37</v>
      </c>
      <c r="E12" s="58">
        <f>'2026г'!F47</f>
        <v>6935870.7300000004</v>
      </c>
      <c r="F12" s="58">
        <f>'2026г'!G47-Свод!G12</f>
        <v>1339193.22</v>
      </c>
      <c r="G12" s="58">
        <f>ROUND('2026г'!G41*1.01*'2026г'!G44,2)</f>
        <v>628896.4</v>
      </c>
      <c r="H12" s="71">
        <f>ROUND(C12*1.2,2)+0.01</f>
        <v>12907581.27</v>
      </c>
    </row>
    <row r="13" spans="1:11" x14ac:dyDescent="0.2">
      <c r="A13" s="47">
        <f t="shared" si="1"/>
        <v>2027</v>
      </c>
      <c r="B13" s="48">
        <f>'2027г'!I19+'2027г'!I20+'2027г'!I21+'2027г'!I22</f>
        <v>269</v>
      </c>
      <c r="C13" s="58">
        <f>'2027г'!H47</f>
        <v>6822610.2800000003</v>
      </c>
      <c r="D13" s="58">
        <f>'2027г'!D47+'2027г'!E47</f>
        <v>1121765.6000000001</v>
      </c>
      <c r="E13" s="58">
        <f>'2027г'!F47</f>
        <v>4458919.47</v>
      </c>
      <c r="F13" s="58">
        <f>'2027г'!G47-Свод!G13</f>
        <v>843517.61</v>
      </c>
      <c r="G13" s="58">
        <f>ROUND('2027г'!G41*1.01*'2027г'!G44,2)</f>
        <v>398407.6</v>
      </c>
      <c r="H13" s="71">
        <f t="shared" si="0"/>
        <v>8187132.3399999999</v>
      </c>
    </row>
    <row r="14" spans="1:11" x14ac:dyDescent="0.2">
      <c r="A14" s="50" t="s">
        <v>58</v>
      </c>
      <c r="B14" s="51">
        <f>SUM(B6:B13)</f>
        <v>9189</v>
      </c>
      <c r="C14" s="52">
        <f t="shared" ref="C14:H14" si="2">SUM(C6:C13)</f>
        <v>211738445.78</v>
      </c>
      <c r="D14" s="52">
        <f t="shared" si="2"/>
        <v>102847986.22</v>
      </c>
      <c r="E14" s="52">
        <f t="shared" si="2"/>
        <v>75752851.109999999</v>
      </c>
      <c r="F14" s="52">
        <f t="shared" si="2"/>
        <v>22958393.949999999</v>
      </c>
      <c r="G14" s="52">
        <f t="shared" si="2"/>
        <v>10179214.5</v>
      </c>
      <c r="H14" s="52">
        <f t="shared" si="2"/>
        <v>254086134.94</v>
      </c>
      <c r="I14" s="53"/>
      <c r="J14" s="53"/>
      <c r="K14" s="53"/>
    </row>
    <row r="15" spans="1:11" x14ac:dyDescent="0.2">
      <c r="A15" s="54"/>
      <c r="B15" s="55"/>
      <c r="C15" s="54"/>
      <c r="D15" s="53"/>
      <c r="E15" s="54"/>
      <c r="F15" s="54"/>
      <c r="G15" s="54"/>
      <c r="H15" s="54"/>
    </row>
    <row r="16" spans="1:11" ht="15.75" x14ac:dyDescent="0.2">
      <c r="A16" s="57"/>
      <c r="B16" s="57"/>
      <c r="C16" s="57"/>
      <c r="D16" s="57"/>
      <c r="E16" s="57"/>
      <c r="F16" s="56"/>
      <c r="G16" s="56"/>
      <c r="H16" s="56"/>
    </row>
    <row r="17" spans="1:8" ht="15.75" x14ac:dyDescent="0.2">
      <c r="A17" s="57"/>
      <c r="B17" s="57"/>
      <c r="C17" s="57"/>
      <c r="D17" s="57"/>
      <c r="E17" s="57"/>
      <c r="F17" s="56"/>
      <c r="G17" s="56"/>
      <c r="H17" s="56"/>
    </row>
  </sheetData>
  <mergeCells count="3">
    <mergeCell ref="A1:H1"/>
    <mergeCell ref="A2:H2"/>
    <mergeCell ref="A3:H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B9E3D-1060-4C03-AAED-3A1F92E244DF}">
  <sheetPr>
    <pageSetUpPr autoPageBreaks="0" fitToPage="1"/>
  </sheetPr>
  <dimension ref="A1:K62"/>
  <sheetViews>
    <sheetView showGridLines="0" view="pageBreakPreview" zoomScale="85" zoomScaleNormal="100" zoomScaleSheetLayoutView="85" workbookViewId="0">
      <selection activeCell="J24" sqref="J24"/>
    </sheetView>
  </sheetViews>
  <sheetFormatPr defaultColWidth="9.140625" defaultRowHeight="12.75" x14ac:dyDescent="0.2"/>
  <cols>
    <col min="1" max="1" width="5" style="38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14.5703125" style="8" customWidth="1"/>
    <col min="10" max="10" width="15.7109375" style="8" bestFit="1" customWidth="1"/>
    <col min="11" max="16384" width="9.140625" style="8"/>
  </cols>
  <sheetData>
    <row r="1" spans="1:8" s="4" customFormat="1" ht="22.9" customHeight="1" x14ac:dyDescent="0.2">
      <c r="A1" s="75" t="s">
        <v>27</v>
      </c>
      <c r="B1" s="2"/>
      <c r="C1" s="138" t="s">
        <v>33</v>
      </c>
      <c r="D1" s="138"/>
      <c r="E1" s="138"/>
      <c r="F1" s="138"/>
      <c r="G1" s="138"/>
      <c r="H1" s="3"/>
    </row>
    <row r="2" spans="1:8" ht="17.25" customHeight="1" x14ac:dyDescent="0.2">
      <c r="A2" s="5" t="s">
        <v>28</v>
      </c>
      <c r="C2" s="5"/>
    </row>
    <row r="3" spans="1:8" ht="17.25" customHeight="1" x14ac:dyDescent="0.25">
      <c r="A3" s="139" t="s">
        <v>42</v>
      </c>
      <c r="B3" s="139"/>
      <c r="C3" s="139"/>
      <c r="E3" s="140"/>
      <c r="F3" s="140"/>
      <c r="G3" s="140"/>
      <c r="H3" s="140"/>
    </row>
    <row r="4" spans="1:8" s="12" customFormat="1" ht="18.600000000000001" customHeight="1" x14ac:dyDescent="0.25">
      <c r="A4" s="141" t="s">
        <v>29</v>
      </c>
      <c r="B4" s="141"/>
      <c r="C4" s="141"/>
      <c r="D4" s="9">
        <f>H49</f>
        <v>8187132.3399999999</v>
      </c>
      <c r="E4" s="10" t="s">
        <v>32</v>
      </c>
      <c r="F4" s="11"/>
      <c r="G4" s="11"/>
      <c r="H4" s="11"/>
    </row>
    <row r="5" spans="1:8" ht="12.6" customHeight="1" x14ac:dyDescent="0.2">
      <c r="A5" s="142"/>
      <c r="B5" s="143"/>
      <c r="C5" s="143"/>
      <c r="D5" s="143"/>
      <c r="E5" s="144"/>
      <c r="F5" s="144"/>
      <c r="G5" s="144"/>
      <c r="H5" s="144"/>
    </row>
    <row r="6" spans="1:8" ht="21" customHeight="1" x14ac:dyDescent="0.2">
      <c r="A6" s="145" t="s">
        <v>30</v>
      </c>
      <c r="B6" s="145"/>
      <c r="C6" s="145"/>
      <c r="D6" s="145"/>
      <c r="E6" s="146"/>
      <c r="F6" s="146"/>
      <c r="G6" s="146"/>
      <c r="H6" s="146"/>
    </row>
    <row r="7" spans="1:8" ht="15" x14ac:dyDescent="0.2">
      <c r="A7" s="13" t="s">
        <v>43</v>
      </c>
      <c r="B7" s="14"/>
      <c r="C7" s="15"/>
      <c r="D7" s="14"/>
      <c r="E7" s="74"/>
      <c r="F7" s="74"/>
      <c r="G7" s="74"/>
      <c r="H7" s="74"/>
    </row>
    <row r="8" spans="1:8" ht="27" customHeight="1" x14ac:dyDescent="0.2">
      <c r="A8" s="147" t="s">
        <v>90</v>
      </c>
      <c r="B8" s="147"/>
      <c r="C8" s="147"/>
      <c r="D8" s="147"/>
      <c r="E8" s="147"/>
      <c r="F8" s="147"/>
      <c r="G8" s="147"/>
      <c r="H8" s="147"/>
    </row>
    <row r="9" spans="1:8" s="4" customFormat="1" ht="32.450000000000003" customHeight="1" x14ac:dyDescent="0.2">
      <c r="A9" s="148" t="s">
        <v>91</v>
      </c>
      <c r="B9" s="148"/>
      <c r="C9" s="148"/>
      <c r="D9" s="148"/>
      <c r="E9" s="148"/>
      <c r="F9" s="148"/>
      <c r="G9" s="148"/>
      <c r="H9" s="148"/>
    </row>
    <row r="10" spans="1:8" ht="17.45" customHeight="1" x14ac:dyDescent="0.2">
      <c r="A10" s="16"/>
      <c r="B10" s="17"/>
      <c r="C10" s="149" t="s">
        <v>0</v>
      </c>
      <c r="D10" s="149"/>
      <c r="E10" s="149"/>
      <c r="F10" s="18"/>
      <c r="G10" s="18"/>
      <c r="H10" s="18"/>
    </row>
    <row r="11" spans="1:8" s="4" customFormat="1" ht="21" customHeight="1" x14ac:dyDescent="0.2">
      <c r="A11" s="137" t="s">
        <v>92</v>
      </c>
      <c r="B11" s="137"/>
      <c r="C11" s="137"/>
      <c r="D11" s="137"/>
      <c r="E11" s="137"/>
      <c r="F11" s="137"/>
      <c r="G11" s="137"/>
      <c r="H11" s="137"/>
    </row>
    <row r="12" spans="1:8" x14ac:dyDescent="0.2">
      <c r="A12" s="16"/>
      <c r="B12" s="17" t="s">
        <v>93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34" t="s">
        <v>1</v>
      </c>
      <c r="B13" s="135" t="s">
        <v>5</v>
      </c>
      <c r="C13" s="135" t="s">
        <v>6</v>
      </c>
      <c r="D13" s="136" t="s">
        <v>8</v>
      </c>
      <c r="E13" s="136"/>
      <c r="F13" s="136"/>
      <c r="G13" s="136"/>
      <c r="H13" s="134" t="s">
        <v>9</v>
      </c>
    </row>
    <row r="14" spans="1:8" x14ac:dyDescent="0.2">
      <c r="A14" s="134"/>
      <c r="B14" s="135"/>
      <c r="C14" s="135"/>
      <c r="D14" s="134" t="s">
        <v>7</v>
      </c>
      <c r="E14" s="134" t="s">
        <v>2</v>
      </c>
      <c r="F14" s="134" t="s">
        <v>3</v>
      </c>
      <c r="G14" s="134" t="s">
        <v>4</v>
      </c>
      <c r="H14" s="134"/>
    </row>
    <row r="15" spans="1:8" x14ac:dyDescent="0.2">
      <c r="A15" s="134"/>
      <c r="B15" s="135"/>
      <c r="C15" s="135"/>
      <c r="D15" s="134"/>
      <c r="E15" s="134"/>
      <c r="F15" s="134"/>
      <c r="G15" s="134"/>
      <c r="H15" s="134"/>
    </row>
    <row r="16" spans="1:8" x14ac:dyDescent="0.2">
      <c r="A16" s="134"/>
      <c r="B16" s="135"/>
      <c r="C16" s="135"/>
      <c r="D16" s="134"/>
      <c r="E16" s="134"/>
      <c r="F16" s="134"/>
      <c r="G16" s="134"/>
      <c r="H16" s="134"/>
    </row>
    <row r="17" spans="1:10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10" ht="12.75" customHeight="1" x14ac:dyDescent="0.2">
      <c r="A18" s="130" t="s">
        <v>10</v>
      </c>
      <c r="B18" s="131"/>
      <c r="C18" s="131"/>
      <c r="D18" s="131"/>
      <c r="E18" s="131"/>
      <c r="F18" s="131"/>
      <c r="G18" s="131"/>
      <c r="H18" s="131"/>
    </row>
    <row r="19" spans="1:10" ht="26.45" customHeight="1" x14ac:dyDescent="0.2">
      <c r="A19" s="1">
        <v>1</v>
      </c>
      <c r="B19" s="42" t="s">
        <v>34</v>
      </c>
      <c r="C19" s="42" t="s">
        <v>94</v>
      </c>
      <c r="D19" s="82"/>
      <c r="E19" s="79">
        <f>2368.16*I19</f>
        <v>78149.279999999999</v>
      </c>
      <c r="F19" s="79">
        <f>9530*I19</f>
        <v>314490</v>
      </c>
      <c r="G19" s="82"/>
      <c r="H19" s="79">
        <f>SUM(D19:G19)</f>
        <v>392639.28</v>
      </c>
      <c r="I19" s="8">
        <v>33</v>
      </c>
    </row>
    <row r="20" spans="1:10" ht="24.95" customHeight="1" x14ac:dyDescent="0.2">
      <c r="A20" s="1">
        <v>2</v>
      </c>
      <c r="B20" s="42" t="s">
        <v>95</v>
      </c>
      <c r="C20" s="42" t="s">
        <v>96</v>
      </c>
      <c r="D20" s="82"/>
      <c r="E20" s="79">
        <f>2368.16*I20</f>
        <v>352855.84</v>
      </c>
      <c r="F20" s="79">
        <f>9923*I20</f>
        <v>1478527</v>
      </c>
      <c r="G20" s="82"/>
      <c r="H20" s="79">
        <f t="shared" ref="H20:H24" si="0">SUM(D20:G20)</f>
        <v>1831382.84</v>
      </c>
      <c r="I20" s="8">
        <v>149</v>
      </c>
    </row>
    <row r="21" spans="1:10" ht="24.95" customHeight="1" x14ac:dyDescent="0.2">
      <c r="A21" s="1">
        <v>3</v>
      </c>
      <c r="B21" s="42" t="s">
        <v>97</v>
      </c>
      <c r="C21" s="42" t="s">
        <v>98</v>
      </c>
      <c r="D21" s="82"/>
      <c r="E21" s="79">
        <f xml:space="preserve"> 4415.3*I21</f>
        <v>48568.3</v>
      </c>
      <c r="F21" s="79">
        <f>15580*I21</f>
        <v>171380</v>
      </c>
      <c r="G21" s="82"/>
      <c r="H21" s="79">
        <f t="shared" si="0"/>
        <v>219948.3</v>
      </c>
      <c r="I21" s="8">
        <v>11</v>
      </c>
    </row>
    <row r="22" spans="1:10" ht="24.95" customHeight="1" x14ac:dyDescent="0.2">
      <c r="A22" s="1">
        <v>4</v>
      </c>
      <c r="B22" s="42" t="s">
        <v>99</v>
      </c>
      <c r="C22" s="42" t="s">
        <v>100</v>
      </c>
      <c r="D22" s="82"/>
      <c r="E22" s="79">
        <f>4128.97*I22</f>
        <v>313801.71999999997</v>
      </c>
      <c r="F22" s="79">
        <f>16064*I22</f>
        <v>1220864</v>
      </c>
      <c r="G22" s="82"/>
      <c r="H22" s="79">
        <f t="shared" si="0"/>
        <v>1534665.72</v>
      </c>
      <c r="I22" s="8">
        <v>76</v>
      </c>
    </row>
    <row r="23" spans="1:10" ht="14.45" customHeight="1" x14ac:dyDescent="0.2">
      <c r="A23" s="1">
        <v>5</v>
      </c>
      <c r="B23" s="42" t="s">
        <v>101</v>
      </c>
      <c r="C23" s="42" t="s">
        <v>102</v>
      </c>
      <c r="D23" s="79">
        <f xml:space="preserve"> 3983.07*I23</f>
        <v>7966.14</v>
      </c>
      <c r="E23" s="82"/>
      <c r="F23" s="82"/>
      <c r="G23" s="82"/>
      <c r="H23" s="79">
        <f t="shared" si="0"/>
        <v>7966.14</v>
      </c>
      <c r="I23" s="8">
        <v>2</v>
      </c>
      <c r="J23" s="89"/>
    </row>
    <row r="24" spans="1:10" ht="16.899999999999999" customHeight="1" x14ac:dyDescent="0.2">
      <c r="A24" s="1">
        <v>6</v>
      </c>
      <c r="B24" s="42" t="s">
        <v>103</v>
      </c>
      <c r="C24" s="42" t="s">
        <v>104</v>
      </c>
      <c r="D24" s="79">
        <f>5875.36*I24</f>
        <v>0</v>
      </c>
      <c r="E24" s="82"/>
      <c r="F24" s="82"/>
      <c r="G24" s="82"/>
      <c r="H24" s="79">
        <f t="shared" si="0"/>
        <v>0</v>
      </c>
    </row>
    <row r="25" spans="1:10" ht="18" customHeight="1" x14ac:dyDescent="0.2">
      <c r="A25" s="22"/>
      <c r="B25" s="132" t="s">
        <v>11</v>
      </c>
      <c r="C25" s="133"/>
      <c r="D25" s="81">
        <f>SUM(D19:D24)</f>
        <v>7966.14</v>
      </c>
      <c r="E25" s="81">
        <f t="shared" ref="E25:H25" si="1">SUM(E19:E24)</f>
        <v>793375.14</v>
      </c>
      <c r="F25" s="81">
        <f t="shared" si="1"/>
        <v>3185261</v>
      </c>
      <c r="G25" s="81">
        <f t="shared" si="1"/>
        <v>0</v>
      </c>
      <c r="H25" s="81">
        <f t="shared" si="1"/>
        <v>3986602.28</v>
      </c>
    </row>
    <row r="26" spans="1:10" ht="12.75" customHeight="1" x14ac:dyDescent="0.2">
      <c r="A26" s="130" t="s">
        <v>12</v>
      </c>
      <c r="B26" s="131"/>
      <c r="C26" s="131"/>
      <c r="D26" s="131"/>
      <c r="E26" s="131"/>
      <c r="F26" s="131"/>
      <c r="G26" s="131"/>
      <c r="H26" s="131"/>
    </row>
    <row r="27" spans="1:10" x14ac:dyDescent="0.2">
      <c r="A27" s="22"/>
      <c r="B27" s="132" t="s">
        <v>13</v>
      </c>
      <c r="C27" s="133"/>
      <c r="D27" s="81">
        <f>D25</f>
        <v>7966.14</v>
      </c>
      <c r="E27" s="81">
        <f>E25</f>
        <v>793375.14</v>
      </c>
      <c r="F27" s="81">
        <f t="shared" ref="F27:H27" si="2">F25</f>
        <v>3185261</v>
      </c>
      <c r="G27" s="81"/>
      <c r="H27" s="81">
        <f t="shared" si="2"/>
        <v>3986602.28</v>
      </c>
    </row>
    <row r="28" spans="1:10" ht="12.75" customHeight="1" x14ac:dyDescent="0.2">
      <c r="A28" s="130" t="s">
        <v>14</v>
      </c>
      <c r="B28" s="131"/>
      <c r="C28" s="131"/>
      <c r="D28" s="131"/>
      <c r="E28" s="131"/>
      <c r="F28" s="131"/>
      <c r="G28" s="131"/>
      <c r="H28" s="131"/>
    </row>
    <row r="29" spans="1:10" ht="19.5" hidden="1" customHeight="1" x14ac:dyDescent="0.2">
      <c r="A29" s="23">
        <v>19</v>
      </c>
      <c r="B29" s="24" t="s">
        <v>15</v>
      </c>
      <c r="C29" s="24" t="s">
        <v>16</v>
      </c>
      <c r="D29" s="25"/>
      <c r="E29" s="26"/>
      <c r="F29" s="27"/>
      <c r="G29" s="27"/>
      <c r="H29" s="28">
        <f t="shared" ref="H29" si="3">SUM(E29:G29)</f>
        <v>0</v>
      </c>
    </row>
    <row r="30" spans="1:10" ht="12.75" customHeight="1" x14ac:dyDescent="0.2">
      <c r="A30" s="22"/>
      <c r="B30" s="132" t="s">
        <v>17</v>
      </c>
      <c r="C30" s="133"/>
      <c r="D30" s="27"/>
      <c r="E30" s="29"/>
      <c r="F30" s="30"/>
      <c r="G30" s="30"/>
      <c r="H30" s="29"/>
    </row>
    <row r="31" spans="1:10" x14ac:dyDescent="0.2">
      <c r="A31" s="22"/>
      <c r="B31" s="132" t="s">
        <v>18</v>
      </c>
      <c r="C31" s="133"/>
      <c r="D31" s="81">
        <f>D27</f>
        <v>7966.14</v>
      </c>
      <c r="E31" s="81">
        <f t="shared" ref="E31:H31" si="4">E27+E30</f>
        <v>793375.14</v>
      </c>
      <c r="F31" s="81">
        <f t="shared" si="4"/>
        <v>3185261</v>
      </c>
      <c r="G31" s="81"/>
      <c r="H31" s="81">
        <f t="shared" si="4"/>
        <v>3986602.28</v>
      </c>
    </row>
    <row r="32" spans="1:10" ht="15" customHeight="1" x14ac:dyDescent="0.2">
      <c r="A32" s="130" t="s">
        <v>19</v>
      </c>
      <c r="B32" s="131"/>
      <c r="C32" s="131"/>
      <c r="D32" s="131"/>
      <c r="E32" s="131"/>
      <c r="F32" s="131"/>
      <c r="G32" s="131"/>
      <c r="H32" s="131"/>
    </row>
    <row r="33" spans="1:11" ht="15.95" customHeight="1" x14ac:dyDescent="0.2">
      <c r="A33" s="1">
        <v>7</v>
      </c>
      <c r="B33" s="42" t="s">
        <v>35</v>
      </c>
      <c r="C33" s="42" t="s">
        <v>105</v>
      </c>
      <c r="D33" s="82"/>
      <c r="E33" s="82"/>
      <c r="F33" s="82"/>
      <c r="G33" s="79">
        <f>409.34*I33</f>
        <v>74499.88</v>
      </c>
      <c r="H33" s="79">
        <f t="shared" ref="H33:H34" si="5">SUM(D33:G33)</f>
        <v>74499.88</v>
      </c>
      <c r="I33" s="8">
        <f>I19+I20</f>
        <v>182</v>
      </c>
    </row>
    <row r="34" spans="1:11" ht="15.95" customHeight="1" x14ac:dyDescent="0.2">
      <c r="A34" s="1">
        <v>8</v>
      </c>
      <c r="B34" s="42" t="s">
        <v>36</v>
      </c>
      <c r="C34" s="42" t="s">
        <v>106</v>
      </c>
      <c r="D34" s="82"/>
      <c r="E34" s="82"/>
      <c r="F34" s="82"/>
      <c r="G34" s="79">
        <f>409.34*I34</f>
        <v>35612.58</v>
      </c>
      <c r="H34" s="79">
        <f t="shared" si="5"/>
        <v>35612.58</v>
      </c>
      <c r="I34" s="8">
        <f>I21+I22</f>
        <v>87</v>
      </c>
    </row>
    <row r="35" spans="1:11" ht="12.75" customHeight="1" x14ac:dyDescent="0.2">
      <c r="A35" s="22"/>
      <c r="B35" s="132" t="s">
        <v>20</v>
      </c>
      <c r="C35" s="132"/>
      <c r="D35" s="81"/>
      <c r="E35" s="81"/>
      <c r="F35" s="81"/>
      <c r="G35" s="81">
        <f>SUM(G33:G34)</f>
        <v>110112.46</v>
      </c>
      <c r="H35" s="81">
        <f>SUM(H33:H34)</f>
        <v>110112.46</v>
      </c>
    </row>
    <row r="36" spans="1:11" x14ac:dyDescent="0.2">
      <c r="A36" s="22"/>
      <c r="B36" s="132" t="s">
        <v>21</v>
      </c>
      <c r="C36" s="132"/>
      <c r="D36" s="81">
        <f>D35+D31</f>
        <v>7966.14</v>
      </c>
      <c r="E36" s="81">
        <f t="shared" ref="E36:H36" si="6">E35+E31</f>
        <v>793375.14</v>
      </c>
      <c r="F36" s="81">
        <f t="shared" si="6"/>
        <v>3185261</v>
      </c>
      <c r="G36" s="81">
        <f t="shared" si="6"/>
        <v>110112.46</v>
      </c>
      <c r="H36" s="81">
        <f t="shared" si="6"/>
        <v>4096714.74</v>
      </c>
    </row>
    <row r="37" spans="1:11" ht="12.75" customHeight="1" x14ac:dyDescent="0.2">
      <c r="A37" s="121" t="s">
        <v>22</v>
      </c>
      <c r="B37" s="122"/>
      <c r="C37" s="122"/>
      <c r="D37" s="122"/>
      <c r="E37" s="122"/>
      <c r="F37" s="122"/>
      <c r="G37" s="122"/>
      <c r="H37" s="123"/>
    </row>
    <row r="38" spans="1:11" ht="54.75" customHeight="1" x14ac:dyDescent="0.2">
      <c r="A38" s="23">
        <v>9</v>
      </c>
      <c r="B38" s="24" t="s">
        <v>122</v>
      </c>
      <c r="C38" s="24" t="s">
        <v>123</v>
      </c>
      <c r="D38" s="27"/>
      <c r="E38" s="27"/>
      <c r="F38" s="27"/>
      <c r="G38" s="83">
        <f>(H36+H42)*11.24%</f>
        <v>492460.37</v>
      </c>
      <c r="H38" s="83">
        <f t="shared" ref="H38" si="7">SUM(D38:G38)</f>
        <v>492460.37</v>
      </c>
    </row>
    <row r="39" spans="1:11" ht="25.5" customHeight="1" x14ac:dyDescent="0.2">
      <c r="A39" s="22"/>
      <c r="B39" s="124" t="s">
        <v>23</v>
      </c>
      <c r="C39" s="125"/>
      <c r="D39" s="31"/>
      <c r="E39" s="32"/>
      <c r="F39" s="32"/>
      <c r="G39" s="81">
        <f>SUM(G38:G38)</f>
        <v>492460.37</v>
      </c>
      <c r="H39" s="81">
        <f>SUM(H38:H38)</f>
        <v>492460.37</v>
      </c>
    </row>
    <row r="40" spans="1:11" ht="56.45" customHeight="1" x14ac:dyDescent="0.2">
      <c r="A40" s="121" t="s">
        <v>44</v>
      </c>
      <c r="B40" s="122"/>
      <c r="C40" s="122"/>
      <c r="D40" s="122"/>
      <c r="E40" s="122"/>
      <c r="F40" s="122"/>
      <c r="G40" s="122"/>
      <c r="H40" s="123"/>
    </row>
    <row r="41" spans="1:11" ht="18.600000000000001" customHeight="1" x14ac:dyDescent="0.2">
      <c r="A41" s="23">
        <v>10</v>
      </c>
      <c r="B41" s="42" t="s">
        <v>38</v>
      </c>
      <c r="C41" s="42" t="s">
        <v>37</v>
      </c>
      <c r="D41" s="82"/>
      <c r="E41" s="82"/>
      <c r="F41" s="82"/>
      <c r="G41" s="79">
        <v>284605.32</v>
      </c>
      <c r="H41" s="79">
        <f t="shared" ref="H41" si="8">SUM(D41:G41)</f>
        <v>284605.32</v>
      </c>
    </row>
    <row r="42" spans="1:11" ht="117" customHeight="1" x14ac:dyDescent="0.2">
      <c r="A42" s="22"/>
      <c r="B42" s="124" t="s">
        <v>45</v>
      </c>
      <c r="C42" s="125"/>
      <c r="D42" s="81"/>
      <c r="E42" s="81"/>
      <c r="F42" s="81"/>
      <c r="G42" s="81">
        <f>G41</f>
        <v>284605.32</v>
      </c>
      <c r="H42" s="81">
        <f>H41</f>
        <v>284605.32</v>
      </c>
    </row>
    <row r="43" spans="1:11" x14ac:dyDescent="0.2">
      <c r="A43" s="22"/>
      <c r="B43" s="124" t="s">
        <v>24</v>
      </c>
      <c r="C43" s="125"/>
      <c r="D43" s="81">
        <f>D42+D39+D36</f>
        <v>7966.14</v>
      </c>
      <c r="E43" s="81">
        <f t="shared" ref="E43:H43" si="9">E42+E39+E36</f>
        <v>793375.14</v>
      </c>
      <c r="F43" s="81">
        <f t="shared" si="9"/>
        <v>3185261</v>
      </c>
      <c r="G43" s="81">
        <f t="shared" si="9"/>
        <v>887178.15</v>
      </c>
      <c r="H43" s="81">
        <f t="shared" si="9"/>
        <v>4873780.43</v>
      </c>
      <c r="J43" s="77"/>
    </row>
    <row r="44" spans="1:11" x14ac:dyDescent="0.2">
      <c r="A44" s="113" t="s">
        <v>51</v>
      </c>
      <c r="B44" s="114"/>
      <c r="C44" s="115"/>
      <c r="D44" s="44">
        <f>1.051*1.048*1.047*1.047*1.047*1.047*1.047</f>
        <v>1.3859999999999999</v>
      </c>
      <c r="E44" s="44">
        <f t="shared" ref="E44:H44" si="10">1.051*1.048*1.047*1.047*1.047*1.047*1.047</f>
        <v>1.3859999999999999</v>
      </c>
      <c r="F44" s="44">
        <f t="shared" si="10"/>
        <v>1.3859999999999999</v>
      </c>
      <c r="G44" s="44">
        <f t="shared" si="10"/>
        <v>1.3859999999999999</v>
      </c>
      <c r="H44" s="44">
        <f t="shared" si="10"/>
        <v>1.3859999999999999</v>
      </c>
    </row>
    <row r="45" spans="1:11" ht="12.75" customHeight="1" x14ac:dyDescent="0.2">
      <c r="A45" s="113" t="s">
        <v>115</v>
      </c>
      <c r="B45" s="116"/>
      <c r="C45" s="117"/>
      <c r="D45" s="45">
        <f>D43*D44</f>
        <v>11041.07</v>
      </c>
      <c r="E45" s="45">
        <f t="shared" ref="E45:H45" si="11">E43*E44</f>
        <v>1099617.94</v>
      </c>
      <c r="F45" s="45">
        <f t="shared" si="11"/>
        <v>4414771.75</v>
      </c>
      <c r="G45" s="45">
        <f t="shared" si="11"/>
        <v>1229628.92</v>
      </c>
      <c r="H45" s="45">
        <f t="shared" si="11"/>
        <v>6755059.6799999997</v>
      </c>
    </row>
    <row r="46" spans="1:11" x14ac:dyDescent="0.2">
      <c r="A46" s="1">
        <v>11</v>
      </c>
      <c r="B46" s="39"/>
      <c r="C46" s="42" t="s">
        <v>47</v>
      </c>
      <c r="D46" s="43">
        <f>D45*1%</f>
        <v>110.41</v>
      </c>
      <c r="E46" s="43">
        <f t="shared" ref="E46:G46" si="12">E45*1%</f>
        <v>10996.18</v>
      </c>
      <c r="F46" s="43">
        <f t="shared" si="12"/>
        <v>44147.72</v>
      </c>
      <c r="G46" s="43">
        <f t="shared" si="12"/>
        <v>12296.29</v>
      </c>
      <c r="H46" s="43">
        <f>SUM(D46:G46)</f>
        <v>67550.600000000006</v>
      </c>
    </row>
    <row r="47" spans="1:11" s="4" customFormat="1" ht="16.5" customHeight="1" x14ac:dyDescent="0.2">
      <c r="A47" s="40"/>
      <c r="B47" s="126" t="s">
        <v>48</v>
      </c>
      <c r="C47" s="127"/>
      <c r="D47" s="80">
        <f>D45+D46</f>
        <v>11151.48</v>
      </c>
      <c r="E47" s="80">
        <f t="shared" ref="E47:H47" si="13">E45+E46</f>
        <v>1110614.1200000001</v>
      </c>
      <c r="F47" s="80">
        <f t="shared" si="13"/>
        <v>4458919.47</v>
      </c>
      <c r="G47" s="80">
        <f t="shared" si="13"/>
        <v>1241925.21</v>
      </c>
      <c r="H47" s="80">
        <f t="shared" si="13"/>
        <v>6822610.2800000003</v>
      </c>
      <c r="I47" s="92"/>
      <c r="J47" s="94"/>
    </row>
    <row r="48" spans="1:11" ht="18" customHeight="1" x14ac:dyDescent="0.2">
      <c r="A48" s="23">
        <v>12</v>
      </c>
      <c r="B48" s="24"/>
      <c r="C48" s="24" t="s">
        <v>25</v>
      </c>
      <c r="D48" s="81">
        <f>D47*0.2</f>
        <v>2230.3000000000002</v>
      </c>
      <c r="E48" s="81">
        <f>E47*0.2</f>
        <v>222122.82</v>
      </c>
      <c r="F48" s="81">
        <f>F47*0.2</f>
        <v>891783.89</v>
      </c>
      <c r="G48" s="81">
        <f>G47*0.2</f>
        <v>248385.04</v>
      </c>
      <c r="H48" s="81">
        <f>H47*0.2</f>
        <v>1364522.06</v>
      </c>
      <c r="I48" s="95"/>
      <c r="K48" s="41"/>
    </row>
    <row r="49" spans="1:8" s="33" customFormat="1" ht="18" customHeight="1" x14ac:dyDescent="0.2">
      <c r="A49" s="73"/>
      <c r="B49" s="128" t="s">
        <v>31</v>
      </c>
      <c r="C49" s="129"/>
      <c r="D49" s="81">
        <f>D47+D48</f>
        <v>13381.78</v>
      </c>
      <c r="E49" s="81">
        <f>E47+E48</f>
        <v>1332736.94</v>
      </c>
      <c r="F49" s="81">
        <f>F47+F48</f>
        <v>5350703.3600000003</v>
      </c>
      <c r="G49" s="81">
        <f>G47+G48</f>
        <v>1490310.25</v>
      </c>
      <c r="H49" s="81">
        <f>H47+H48</f>
        <v>8187132.3399999999</v>
      </c>
    </row>
    <row r="50" spans="1:8" x14ac:dyDescent="0.2">
      <c r="A50" s="16"/>
      <c r="B50" s="17"/>
      <c r="C50" s="17"/>
      <c r="D50" s="34"/>
      <c r="E50" s="34"/>
      <c r="F50" s="34"/>
      <c r="G50" s="34"/>
      <c r="H50" s="34"/>
    </row>
    <row r="51" spans="1:8" s="36" customFormat="1" ht="21" customHeight="1" x14ac:dyDescent="0.2">
      <c r="A51" s="118" t="s">
        <v>40</v>
      </c>
      <c r="B51" s="118"/>
      <c r="C51" s="118"/>
      <c r="D51" s="35"/>
      <c r="E51" s="35"/>
      <c r="F51" s="35"/>
      <c r="G51" s="35"/>
      <c r="H51" s="35"/>
    </row>
    <row r="52" spans="1:8" s="36" customFormat="1" ht="14.25" customHeight="1" x14ac:dyDescent="0.2">
      <c r="A52" s="119" t="s">
        <v>46</v>
      </c>
      <c r="B52" s="119"/>
      <c r="C52" s="119"/>
      <c r="D52" s="35"/>
      <c r="E52" s="35"/>
      <c r="F52" s="35"/>
      <c r="G52" s="120" t="s">
        <v>39</v>
      </c>
      <c r="H52" s="120"/>
    </row>
    <row r="53" spans="1:8" s="37" customFormat="1" ht="12.75" customHeight="1" x14ac:dyDescent="0.2">
      <c r="A53" s="112" t="s">
        <v>26</v>
      </c>
      <c r="B53" s="112"/>
      <c r="C53" s="112"/>
      <c r="D53" s="112"/>
      <c r="E53" s="112"/>
      <c r="F53" s="112"/>
      <c r="G53" s="112"/>
      <c r="H53" s="112"/>
    </row>
    <row r="54" spans="1:8" s="36" customFormat="1" ht="21" customHeight="1" x14ac:dyDescent="0.2">
      <c r="A54" s="118" t="s">
        <v>41</v>
      </c>
      <c r="B54" s="118"/>
      <c r="C54" s="118"/>
      <c r="D54" s="35"/>
      <c r="E54" s="35"/>
      <c r="F54" s="35"/>
      <c r="G54" s="35"/>
      <c r="H54" s="35"/>
    </row>
    <row r="55" spans="1:8" s="36" customFormat="1" ht="37.5" customHeight="1" x14ac:dyDescent="0.2">
      <c r="A55" s="120" t="s">
        <v>107</v>
      </c>
      <c r="B55" s="120"/>
      <c r="C55" s="120"/>
      <c r="D55" s="35"/>
      <c r="E55" s="35"/>
      <c r="F55" s="35"/>
      <c r="G55" s="120" t="s">
        <v>119</v>
      </c>
      <c r="H55" s="120"/>
    </row>
    <row r="56" spans="1:8" s="37" customFormat="1" ht="15.6" customHeight="1" x14ac:dyDescent="0.2">
      <c r="A56" s="112" t="s">
        <v>26</v>
      </c>
      <c r="B56" s="112"/>
      <c r="C56" s="112"/>
      <c r="D56" s="112"/>
      <c r="E56" s="112"/>
      <c r="F56" s="112"/>
      <c r="G56" s="112"/>
      <c r="H56" s="112"/>
    </row>
    <row r="57" spans="1:8" x14ac:dyDescent="0.2">
      <c r="C57" s="5"/>
    </row>
    <row r="62" spans="1:8" x14ac:dyDescent="0.2">
      <c r="H62" s="78"/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B39:C39"/>
    <mergeCell ref="A18:H18"/>
    <mergeCell ref="B25:C25"/>
    <mergeCell ref="A26:H26"/>
    <mergeCell ref="B27:C27"/>
    <mergeCell ref="A28:H28"/>
    <mergeCell ref="B30:C30"/>
    <mergeCell ref="B31:C31"/>
    <mergeCell ref="A32:H32"/>
    <mergeCell ref="B35:C35"/>
    <mergeCell ref="B36:C36"/>
    <mergeCell ref="A37:H37"/>
    <mergeCell ref="A40:H40"/>
    <mergeCell ref="B42:C42"/>
    <mergeCell ref="B43:C43"/>
    <mergeCell ref="B47:C47"/>
    <mergeCell ref="B49:C49"/>
    <mergeCell ref="A56:H56"/>
    <mergeCell ref="A44:C44"/>
    <mergeCell ref="A45:C45"/>
    <mergeCell ref="A51:C51"/>
    <mergeCell ref="A52:C52"/>
    <mergeCell ref="G52:H52"/>
    <mergeCell ref="A53:H53"/>
    <mergeCell ref="A54:C54"/>
    <mergeCell ref="A55:C55"/>
    <mergeCell ref="G55:H55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workbookViewId="0">
      <selection activeCell="D17" sqref="D17"/>
    </sheetView>
  </sheetViews>
  <sheetFormatPr defaultRowHeight="11.25" x14ac:dyDescent="0.2"/>
  <cols>
    <col min="1" max="1" width="43.28515625" style="59" customWidth="1"/>
    <col min="2" max="2" width="4" style="59" customWidth="1"/>
    <col min="3" max="3" width="3.5703125" style="59" customWidth="1"/>
    <col min="4" max="4" width="34.5703125" style="59" customWidth="1"/>
    <col min="5" max="5" width="4.5703125" style="59" customWidth="1"/>
    <col min="6" max="242" width="9.140625" style="60" customWidth="1"/>
    <col min="243" max="243" width="43.28515625" style="60" customWidth="1"/>
    <col min="244" max="244" width="4" style="60" customWidth="1"/>
    <col min="245" max="245" width="3.5703125" style="60" customWidth="1"/>
    <col min="246" max="246" width="34.5703125" style="60" customWidth="1"/>
    <col min="247" max="247" width="4.5703125" style="60" customWidth="1"/>
    <col min="248" max="249" width="9.140625" style="60" customWidth="1"/>
    <col min="250" max="250" width="11" style="60" customWidth="1"/>
    <col min="251" max="498" width="9.140625" style="60" customWidth="1"/>
    <col min="499" max="499" width="43.28515625" style="60" customWidth="1"/>
    <col min="500" max="500" width="4" style="60" customWidth="1"/>
    <col min="501" max="501" width="3.5703125" style="60" customWidth="1"/>
    <col min="502" max="502" width="34.5703125" style="60" customWidth="1"/>
    <col min="503" max="503" width="4.5703125" style="60" customWidth="1"/>
    <col min="504" max="505" width="9.140625" style="60" customWidth="1"/>
    <col min="506" max="506" width="11" style="60" customWidth="1"/>
    <col min="507" max="754" width="9.140625" style="60" customWidth="1"/>
    <col min="755" max="755" width="43.28515625" style="60" customWidth="1"/>
    <col min="756" max="756" width="4" style="60" customWidth="1"/>
    <col min="757" max="757" width="3.5703125" style="60" customWidth="1"/>
    <col min="758" max="758" width="34.5703125" style="60" customWidth="1"/>
    <col min="759" max="759" width="4.5703125" style="60" customWidth="1"/>
    <col min="760" max="761" width="9.140625" style="60" customWidth="1"/>
    <col min="762" max="762" width="11" style="60" customWidth="1"/>
    <col min="763" max="1010" width="9.140625" style="60" customWidth="1"/>
    <col min="1011" max="1011" width="43.28515625" style="60" customWidth="1"/>
    <col min="1012" max="1012" width="4" style="60" customWidth="1"/>
    <col min="1013" max="1013" width="3.5703125" style="60" customWidth="1"/>
    <col min="1014" max="1014" width="34.5703125" style="60" customWidth="1"/>
    <col min="1015" max="1015" width="4.5703125" style="60" customWidth="1"/>
    <col min="1016" max="1017" width="9.140625" style="60" customWidth="1"/>
    <col min="1018" max="1018" width="11" style="60" customWidth="1"/>
    <col min="1019" max="1266" width="9.140625" style="60" customWidth="1"/>
    <col min="1267" max="1267" width="43.28515625" style="60" customWidth="1"/>
    <col min="1268" max="1268" width="4" style="60" customWidth="1"/>
    <col min="1269" max="1269" width="3.5703125" style="60" customWidth="1"/>
    <col min="1270" max="1270" width="34.5703125" style="60" customWidth="1"/>
    <col min="1271" max="1271" width="4.5703125" style="60" customWidth="1"/>
    <col min="1272" max="1273" width="9.140625" style="60" customWidth="1"/>
    <col min="1274" max="1274" width="11" style="60" customWidth="1"/>
    <col min="1275" max="1522" width="9.140625" style="60" customWidth="1"/>
    <col min="1523" max="1523" width="43.28515625" style="60" customWidth="1"/>
    <col min="1524" max="1524" width="4" style="60" customWidth="1"/>
    <col min="1525" max="1525" width="3.5703125" style="60" customWidth="1"/>
    <col min="1526" max="1526" width="34.5703125" style="60" customWidth="1"/>
    <col min="1527" max="1527" width="4.5703125" style="60" customWidth="1"/>
    <col min="1528" max="1529" width="9.140625" style="60" customWidth="1"/>
    <col min="1530" max="1530" width="11" style="60" customWidth="1"/>
    <col min="1531" max="1778" width="9.140625" style="60" customWidth="1"/>
    <col min="1779" max="1779" width="43.28515625" style="60" customWidth="1"/>
    <col min="1780" max="1780" width="4" style="60" customWidth="1"/>
    <col min="1781" max="1781" width="3.5703125" style="60" customWidth="1"/>
    <col min="1782" max="1782" width="34.5703125" style="60" customWidth="1"/>
    <col min="1783" max="1783" width="4.5703125" style="60" customWidth="1"/>
    <col min="1784" max="1785" width="9.140625" style="60" customWidth="1"/>
    <col min="1786" max="1786" width="11" style="60" customWidth="1"/>
    <col min="1787" max="2034" width="9.140625" style="60" customWidth="1"/>
    <col min="2035" max="2035" width="43.28515625" style="60" customWidth="1"/>
    <col min="2036" max="2036" width="4" style="60" customWidth="1"/>
    <col min="2037" max="2037" width="3.5703125" style="60" customWidth="1"/>
    <col min="2038" max="2038" width="34.5703125" style="60" customWidth="1"/>
    <col min="2039" max="2039" width="4.5703125" style="60" customWidth="1"/>
    <col min="2040" max="2041" width="9.140625" style="60" customWidth="1"/>
    <col min="2042" max="2042" width="11" style="60" customWidth="1"/>
    <col min="2043" max="2290" width="9.140625" style="60" customWidth="1"/>
    <col min="2291" max="2291" width="43.28515625" style="60" customWidth="1"/>
    <col min="2292" max="2292" width="4" style="60" customWidth="1"/>
    <col min="2293" max="2293" width="3.5703125" style="60" customWidth="1"/>
    <col min="2294" max="2294" width="34.5703125" style="60" customWidth="1"/>
    <col min="2295" max="2295" width="4.5703125" style="60" customWidth="1"/>
    <col min="2296" max="2297" width="9.140625" style="60" customWidth="1"/>
    <col min="2298" max="2298" width="11" style="60" customWidth="1"/>
    <col min="2299" max="2546" width="9.140625" style="60" customWidth="1"/>
    <col min="2547" max="2547" width="43.28515625" style="60" customWidth="1"/>
    <col min="2548" max="2548" width="4" style="60" customWidth="1"/>
    <col min="2549" max="2549" width="3.5703125" style="60" customWidth="1"/>
    <col min="2550" max="2550" width="34.5703125" style="60" customWidth="1"/>
    <col min="2551" max="2551" width="4.5703125" style="60" customWidth="1"/>
    <col min="2552" max="2553" width="9.140625" style="60" customWidth="1"/>
    <col min="2554" max="2554" width="11" style="60" customWidth="1"/>
    <col min="2555" max="2802" width="9.140625" style="60" customWidth="1"/>
    <col min="2803" max="2803" width="43.28515625" style="60" customWidth="1"/>
    <col min="2804" max="2804" width="4" style="60" customWidth="1"/>
    <col min="2805" max="2805" width="3.5703125" style="60" customWidth="1"/>
    <col min="2806" max="2806" width="34.5703125" style="60" customWidth="1"/>
    <col min="2807" max="2807" width="4.5703125" style="60" customWidth="1"/>
    <col min="2808" max="2809" width="9.140625" style="60" customWidth="1"/>
    <col min="2810" max="2810" width="11" style="60" customWidth="1"/>
    <col min="2811" max="3058" width="9.140625" style="60" customWidth="1"/>
    <col min="3059" max="3059" width="43.28515625" style="60" customWidth="1"/>
    <col min="3060" max="3060" width="4" style="60" customWidth="1"/>
    <col min="3061" max="3061" width="3.5703125" style="60" customWidth="1"/>
    <col min="3062" max="3062" width="34.5703125" style="60" customWidth="1"/>
    <col min="3063" max="3063" width="4.5703125" style="60" customWidth="1"/>
    <col min="3064" max="3065" width="9.140625" style="60" customWidth="1"/>
    <col min="3066" max="3066" width="11" style="60" customWidth="1"/>
    <col min="3067" max="3314" width="9.140625" style="60" customWidth="1"/>
    <col min="3315" max="3315" width="43.28515625" style="60" customWidth="1"/>
    <col min="3316" max="3316" width="4" style="60" customWidth="1"/>
    <col min="3317" max="3317" width="3.5703125" style="60" customWidth="1"/>
    <col min="3318" max="3318" width="34.5703125" style="60" customWidth="1"/>
    <col min="3319" max="3319" width="4.5703125" style="60" customWidth="1"/>
    <col min="3320" max="3321" width="9.140625" style="60" customWidth="1"/>
    <col min="3322" max="3322" width="11" style="60" customWidth="1"/>
    <col min="3323" max="3570" width="9.140625" style="60" customWidth="1"/>
    <col min="3571" max="3571" width="43.28515625" style="60" customWidth="1"/>
    <col min="3572" max="3572" width="4" style="60" customWidth="1"/>
    <col min="3573" max="3573" width="3.5703125" style="60" customWidth="1"/>
    <col min="3574" max="3574" width="34.5703125" style="60" customWidth="1"/>
    <col min="3575" max="3575" width="4.5703125" style="60" customWidth="1"/>
    <col min="3576" max="3577" width="9.140625" style="60" customWidth="1"/>
    <col min="3578" max="3578" width="11" style="60" customWidth="1"/>
    <col min="3579" max="3826" width="9.140625" style="60" customWidth="1"/>
    <col min="3827" max="3827" width="43.28515625" style="60" customWidth="1"/>
    <col min="3828" max="3828" width="4" style="60" customWidth="1"/>
    <col min="3829" max="3829" width="3.5703125" style="60" customWidth="1"/>
    <col min="3830" max="3830" width="34.5703125" style="60" customWidth="1"/>
    <col min="3831" max="3831" width="4.5703125" style="60" customWidth="1"/>
    <col min="3832" max="3833" width="9.140625" style="60" customWidth="1"/>
    <col min="3834" max="3834" width="11" style="60" customWidth="1"/>
    <col min="3835" max="4082" width="9.140625" style="60" customWidth="1"/>
    <col min="4083" max="4083" width="43.28515625" style="60" customWidth="1"/>
    <col min="4084" max="4084" width="4" style="60" customWidth="1"/>
    <col min="4085" max="4085" width="3.5703125" style="60" customWidth="1"/>
    <col min="4086" max="4086" width="34.5703125" style="60" customWidth="1"/>
    <col min="4087" max="4087" width="4.5703125" style="60" customWidth="1"/>
    <col min="4088" max="4089" width="9.140625" style="60" customWidth="1"/>
    <col min="4090" max="4090" width="11" style="60" customWidth="1"/>
    <col min="4091" max="4338" width="9.140625" style="60" customWidth="1"/>
    <col min="4339" max="4339" width="43.28515625" style="60" customWidth="1"/>
    <col min="4340" max="4340" width="4" style="60" customWidth="1"/>
    <col min="4341" max="4341" width="3.5703125" style="60" customWidth="1"/>
    <col min="4342" max="4342" width="34.5703125" style="60" customWidth="1"/>
    <col min="4343" max="4343" width="4.5703125" style="60" customWidth="1"/>
    <col min="4344" max="4345" width="9.140625" style="60" customWidth="1"/>
    <col min="4346" max="4346" width="11" style="60" customWidth="1"/>
    <col min="4347" max="4594" width="9.140625" style="60" customWidth="1"/>
    <col min="4595" max="4595" width="43.28515625" style="60" customWidth="1"/>
    <col min="4596" max="4596" width="4" style="60" customWidth="1"/>
    <col min="4597" max="4597" width="3.5703125" style="60" customWidth="1"/>
    <col min="4598" max="4598" width="34.5703125" style="60" customWidth="1"/>
    <col min="4599" max="4599" width="4.5703125" style="60" customWidth="1"/>
    <col min="4600" max="4601" width="9.140625" style="60" customWidth="1"/>
    <col min="4602" max="4602" width="11" style="60" customWidth="1"/>
    <col min="4603" max="4850" width="9.140625" style="60" customWidth="1"/>
    <col min="4851" max="4851" width="43.28515625" style="60" customWidth="1"/>
    <col min="4852" max="4852" width="4" style="60" customWidth="1"/>
    <col min="4853" max="4853" width="3.5703125" style="60" customWidth="1"/>
    <col min="4854" max="4854" width="34.5703125" style="60" customWidth="1"/>
    <col min="4855" max="4855" width="4.5703125" style="60" customWidth="1"/>
    <col min="4856" max="4857" width="9.140625" style="60" customWidth="1"/>
    <col min="4858" max="4858" width="11" style="60" customWidth="1"/>
    <col min="4859" max="5106" width="9.140625" style="60" customWidth="1"/>
    <col min="5107" max="5107" width="43.28515625" style="60" customWidth="1"/>
    <col min="5108" max="5108" width="4" style="60" customWidth="1"/>
    <col min="5109" max="5109" width="3.5703125" style="60" customWidth="1"/>
    <col min="5110" max="5110" width="34.5703125" style="60" customWidth="1"/>
    <col min="5111" max="5111" width="4.5703125" style="60" customWidth="1"/>
    <col min="5112" max="5113" width="9.140625" style="60" customWidth="1"/>
    <col min="5114" max="5114" width="11" style="60" customWidth="1"/>
    <col min="5115" max="5362" width="9.140625" style="60" customWidth="1"/>
    <col min="5363" max="5363" width="43.28515625" style="60" customWidth="1"/>
    <col min="5364" max="5364" width="4" style="60" customWidth="1"/>
    <col min="5365" max="5365" width="3.5703125" style="60" customWidth="1"/>
    <col min="5366" max="5366" width="34.5703125" style="60" customWidth="1"/>
    <col min="5367" max="5367" width="4.5703125" style="60" customWidth="1"/>
    <col min="5368" max="5369" width="9.140625" style="60" customWidth="1"/>
    <col min="5370" max="5370" width="11" style="60" customWidth="1"/>
    <col min="5371" max="5618" width="9.140625" style="60" customWidth="1"/>
    <col min="5619" max="5619" width="43.28515625" style="60" customWidth="1"/>
    <col min="5620" max="5620" width="4" style="60" customWidth="1"/>
    <col min="5621" max="5621" width="3.5703125" style="60" customWidth="1"/>
    <col min="5622" max="5622" width="34.5703125" style="60" customWidth="1"/>
    <col min="5623" max="5623" width="4.5703125" style="60" customWidth="1"/>
    <col min="5624" max="5625" width="9.140625" style="60" customWidth="1"/>
    <col min="5626" max="5626" width="11" style="60" customWidth="1"/>
    <col min="5627" max="5874" width="9.140625" style="60" customWidth="1"/>
    <col min="5875" max="5875" width="43.28515625" style="60" customWidth="1"/>
    <col min="5876" max="5876" width="4" style="60" customWidth="1"/>
    <col min="5877" max="5877" width="3.5703125" style="60" customWidth="1"/>
    <col min="5878" max="5878" width="34.5703125" style="60" customWidth="1"/>
    <col min="5879" max="5879" width="4.5703125" style="60" customWidth="1"/>
    <col min="5880" max="5881" width="9.140625" style="60" customWidth="1"/>
    <col min="5882" max="5882" width="11" style="60" customWidth="1"/>
    <col min="5883" max="6130" width="9.140625" style="60" customWidth="1"/>
    <col min="6131" max="6131" width="43.28515625" style="60" customWidth="1"/>
    <col min="6132" max="6132" width="4" style="60" customWidth="1"/>
    <col min="6133" max="6133" width="3.5703125" style="60" customWidth="1"/>
    <col min="6134" max="6134" width="34.5703125" style="60" customWidth="1"/>
    <col min="6135" max="6135" width="4.5703125" style="60" customWidth="1"/>
    <col min="6136" max="6137" width="9.140625" style="60" customWidth="1"/>
    <col min="6138" max="6138" width="11" style="60" customWidth="1"/>
    <col min="6139" max="6386" width="9.140625" style="60" customWidth="1"/>
    <col min="6387" max="6387" width="43.28515625" style="60" customWidth="1"/>
    <col min="6388" max="6388" width="4" style="60" customWidth="1"/>
    <col min="6389" max="6389" width="3.5703125" style="60" customWidth="1"/>
    <col min="6390" max="6390" width="34.5703125" style="60" customWidth="1"/>
    <col min="6391" max="6391" width="4.5703125" style="60" customWidth="1"/>
    <col min="6392" max="6393" width="9.140625" style="60" customWidth="1"/>
    <col min="6394" max="6394" width="11" style="60" customWidth="1"/>
    <col min="6395" max="6642" width="9.140625" style="60" customWidth="1"/>
    <col min="6643" max="6643" width="43.28515625" style="60" customWidth="1"/>
    <col min="6644" max="6644" width="4" style="60" customWidth="1"/>
    <col min="6645" max="6645" width="3.5703125" style="60" customWidth="1"/>
    <col min="6646" max="6646" width="34.5703125" style="60" customWidth="1"/>
    <col min="6647" max="6647" width="4.5703125" style="60" customWidth="1"/>
    <col min="6648" max="6649" width="9.140625" style="60" customWidth="1"/>
    <col min="6650" max="6650" width="11" style="60" customWidth="1"/>
    <col min="6651" max="6898" width="9.140625" style="60" customWidth="1"/>
    <col min="6899" max="6899" width="43.28515625" style="60" customWidth="1"/>
    <col min="6900" max="6900" width="4" style="60" customWidth="1"/>
    <col min="6901" max="6901" width="3.5703125" style="60" customWidth="1"/>
    <col min="6902" max="6902" width="34.5703125" style="60" customWidth="1"/>
    <col min="6903" max="6903" width="4.5703125" style="60" customWidth="1"/>
    <col min="6904" max="6905" width="9.140625" style="60" customWidth="1"/>
    <col min="6906" max="6906" width="11" style="60" customWidth="1"/>
    <col min="6907" max="7154" width="9.140625" style="60" customWidth="1"/>
    <col min="7155" max="7155" width="43.28515625" style="60" customWidth="1"/>
    <col min="7156" max="7156" width="4" style="60" customWidth="1"/>
    <col min="7157" max="7157" width="3.5703125" style="60" customWidth="1"/>
    <col min="7158" max="7158" width="34.5703125" style="60" customWidth="1"/>
    <col min="7159" max="7159" width="4.5703125" style="60" customWidth="1"/>
    <col min="7160" max="7161" width="9.140625" style="60" customWidth="1"/>
    <col min="7162" max="7162" width="11" style="60" customWidth="1"/>
    <col min="7163" max="7410" width="9.140625" style="60" customWidth="1"/>
    <col min="7411" max="7411" width="43.28515625" style="60" customWidth="1"/>
    <col min="7412" max="7412" width="4" style="60" customWidth="1"/>
    <col min="7413" max="7413" width="3.5703125" style="60" customWidth="1"/>
    <col min="7414" max="7414" width="34.5703125" style="60" customWidth="1"/>
    <col min="7415" max="7415" width="4.5703125" style="60" customWidth="1"/>
    <col min="7416" max="7417" width="9.140625" style="60" customWidth="1"/>
    <col min="7418" max="7418" width="11" style="60" customWidth="1"/>
    <col min="7419" max="7666" width="9.140625" style="60" customWidth="1"/>
    <col min="7667" max="7667" width="43.28515625" style="60" customWidth="1"/>
    <col min="7668" max="7668" width="4" style="60" customWidth="1"/>
    <col min="7669" max="7669" width="3.5703125" style="60" customWidth="1"/>
    <col min="7670" max="7670" width="34.5703125" style="60" customWidth="1"/>
    <col min="7671" max="7671" width="4.5703125" style="60" customWidth="1"/>
    <col min="7672" max="7673" width="9.140625" style="60" customWidth="1"/>
    <col min="7674" max="7674" width="11" style="60" customWidth="1"/>
    <col min="7675" max="7922" width="9.140625" style="60" customWidth="1"/>
    <col min="7923" max="7923" width="43.28515625" style="60" customWidth="1"/>
    <col min="7924" max="7924" width="4" style="60" customWidth="1"/>
    <col min="7925" max="7925" width="3.5703125" style="60" customWidth="1"/>
    <col min="7926" max="7926" width="34.5703125" style="60" customWidth="1"/>
    <col min="7927" max="7927" width="4.5703125" style="60" customWidth="1"/>
    <col min="7928" max="7929" width="9.140625" style="60" customWidth="1"/>
    <col min="7930" max="7930" width="11" style="60" customWidth="1"/>
    <col min="7931" max="8178" width="9.140625" style="60" customWidth="1"/>
    <col min="8179" max="8179" width="43.28515625" style="60" customWidth="1"/>
    <col min="8180" max="8180" width="4" style="60" customWidth="1"/>
    <col min="8181" max="8181" width="3.5703125" style="60" customWidth="1"/>
    <col min="8182" max="8182" width="34.5703125" style="60" customWidth="1"/>
    <col min="8183" max="8183" width="4.5703125" style="60" customWidth="1"/>
    <col min="8184" max="8185" width="9.140625" style="60" customWidth="1"/>
    <col min="8186" max="8186" width="11" style="60" customWidth="1"/>
    <col min="8187" max="8434" width="9.140625" style="60" customWidth="1"/>
    <col min="8435" max="8435" width="43.28515625" style="60" customWidth="1"/>
    <col min="8436" max="8436" width="4" style="60" customWidth="1"/>
    <col min="8437" max="8437" width="3.5703125" style="60" customWidth="1"/>
    <col min="8438" max="8438" width="34.5703125" style="60" customWidth="1"/>
    <col min="8439" max="8439" width="4.5703125" style="60" customWidth="1"/>
    <col min="8440" max="8441" width="9.140625" style="60" customWidth="1"/>
    <col min="8442" max="8442" width="11" style="60" customWidth="1"/>
    <col min="8443" max="8690" width="9.140625" style="60" customWidth="1"/>
    <col min="8691" max="8691" width="43.28515625" style="60" customWidth="1"/>
    <col min="8692" max="8692" width="4" style="60" customWidth="1"/>
    <col min="8693" max="8693" width="3.5703125" style="60" customWidth="1"/>
    <col min="8694" max="8694" width="34.5703125" style="60" customWidth="1"/>
    <col min="8695" max="8695" width="4.5703125" style="60" customWidth="1"/>
    <col min="8696" max="8697" width="9.140625" style="60" customWidth="1"/>
    <col min="8698" max="8698" width="11" style="60" customWidth="1"/>
    <col min="8699" max="8946" width="9.140625" style="60" customWidth="1"/>
    <col min="8947" max="8947" width="43.28515625" style="60" customWidth="1"/>
    <col min="8948" max="8948" width="4" style="60" customWidth="1"/>
    <col min="8949" max="8949" width="3.5703125" style="60" customWidth="1"/>
    <col min="8950" max="8950" width="34.5703125" style="60" customWidth="1"/>
    <col min="8951" max="8951" width="4.5703125" style="60" customWidth="1"/>
    <col min="8952" max="8953" width="9.140625" style="60" customWidth="1"/>
    <col min="8954" max="8954" width="11" style="60" customWidth="1"/>
    <col min="8955" max="9202" width="9.140625" style="60" customWidth="1"/>
    <col min="9203" max="9203" width="43.28515625" style="60" customWidth="1"/>
    <col min="9204" max="9204" width="4" style="60" customWidth="1"/>
    <col min="9205" max="9205" width="3.5703125" style="60" customWidth="1"/>
    <col min="9206" max="9206" width="34.5703125" style="60" customWidth="1"/>
    <col min="9207" max="9207" width="4.5703125" style="60" customWidth="1"/>
    <col min="9208" max="9209" width="9.140625" style="60" customWidth="1"/>
    <col min="9210" max="9210" width="11" style="60" customWidth="1"/>
    <col min="9211" max="9458" width="9.140625" style="60" customWidth="1"/>
    <col min="9459" max="9459" width="43.28515625" style="60" customWidth="1"/>
    <col min="9460" max="9460" width="4" style="60" customWidth="1"/>
    <col min="9461" max="9461" width="3.5703125" style="60" customWidth="1"/>
    <col min="9462" max="9462" width="34.5703125" style="60" customWidth="1"/>
    <col min="9463" max="9463" width="4.5703125" style="60" customWidth="1"/>
    <col min="9464" max="9465" width="9.140625" style="60" customWidth="1"/>
    <col min="9466" max="9466" width="11" style="60" customWidth="1"/>
    <col min="9467" max="9714" width="9.140625" style="60" customWidth="1"/>
    <col min="9715" max="9715" width="43.28515625" style="60" customWidth="1"/>
    <col min="9716" max="9716" width="4" style="60" customWidth="1"/>
    <col min="9717" max="9717" width="3.5703125" style="60" customWidth="1"/>
    <col min="9718" max="9718" width="34.5703125" style="60" customWidth="1"/>
    <col min="9719" max="9719" width="4.5703125" style="60" customWidth="1"/>
    <col min="9720" max="9721" width="9.140625" style="60" customWidth="1"/>
    <col min="9722" max="9722" width="11" style="60" customWidth="1"/>
    <col min="9723" max="9970" width="9.140625" style="60" customWidth="1"/>
    <col min="9971" max="9971" width="43.28515625" style="60" customWidth="1"/>
    <col min="9972" max="9972" width="4" style="60" customWidth="1"/>
    <col min="9973" max="9973" width="3.5703125" style="60" customWidth="1"/>
    <col min="9974" max="9974" width="34.5703125" style="60" customWidth="1"/>
    <col min="9975" max="9975" width="4.5703125" style="60" customWidth="1"/>
    <col min="9976" max="9977" width="9.140625" style="60" customWidth="1"/>
    <col min="9978" max="9978" width="11" style="60" customWidth="1"/>
    <col min="9979" max="10226" width="9.140625" style="60" customWidth="1"/>
    <col min="10227" max="10227" width="43.28515625" style="60" customWidth="1"/>
    <col min="10228" max="10228" width="4" style="60" customWidth="1"/>
    <col min="10229" max="10229" width="3.5703125" style="60" customWidth="1"/>
    <col min="10230" max="10230" width="34.5703125" style="60" customWidth="1"/>
    <col min="10231" max="10231" width="4.5703125" style="60" customWidth="1"/>
    <col min="10232" max="10233" width="9.140625" style="60" customWidth="1"/>
    <col min="10234" max="10234" width="11" style="60" customWidth="1"/>
    <col min="10235" max="10482" width="9.140625" style="60" customWidth="1"/>
    <col min="10483" max="10483" width="43.28515625" style="60" customWidth="1"/>
    <col min="10484" max="10484" width="4" style="60" customWidth="1"/>
    <col min="10485" max="10485" width="3.5703125" style="60" customWidth="1"/>
    <col min="10486" max="10486" width="34.5703125" style="60" customWidth="1"/>
    <col min="10487" max="10487" width="4.5703125" style="60" customWidth="1"/>
    <col min="10488" max="10489" width="9.140625" style="60" customWidth="1"/>
    <col min="10490" max="10490" width="11" style="60" customWidth="1"/>
    <col min="10491" max="10738" width="9.140625" style="60" customWidth="1"/>
    <col min="10739" max="10739" width="43.28515625" style="60" customWidth="1"/>
    <col min="10740" max="10740" width="4" style="60" customWidth="1"/>
    <col min="10741" max="10741" width="3.5703125" style="60" customWidth="1"/>
    <col min="10742" max="10742" width="34.5703125" style="60" customWidth="1"/>
    <col min="10743" max="10743" width="4.5703125" style="60" customWidth="1"/>
    <col min="10744" max="10745" width="9.140625" style="60" customWidth="1"/>
    <col min="10746" max="10746" width="11" style="60" customWidth="1"/>
    <col min="10747" max="10994" width="9.140625" style="60" customWidth="1"/>
    <col min="10995" max="10995" width="43.28515625" style="60" customWidth="1"/>
    <col min="10996" max="10996" width="4" style="60" customWidth="1"/>
    <col min="10997" max="10997" width="3.5703125" style="60" customWidth="1"/>
    <col min="10998" max="10998" width="34.5703125" style="60" customWidth="1"/>
    <col min="10999" max="10999" width="4.5703125" style="60" customWidth="1"/>
    <col min="11000" max="11001" width="9.140625" style="60" customWidth="1"/>
    <col min="11002" max="11002" width="11" style="60" customWidth="1"/>
    <col min="11003" max="11250" width="9.140625" style="60" customWidth="1"/>
    <col min="11251" max="11251" width="43.28515625" style="60" customWidth="1"/>
    <col min="11252" max="11252" width="4" style="60" customWidth="1"/>
    <col min="11253" max="11253" width="3.5703125" style="60" customWidth="1"/>
    <col min="11254" max="11254" width="34.5703125" style="60" customWidth="1"/>
    <col min="11255" max="11255" width="4.5703125" style="60" customWidth="1"/>
    <col min="11256" max="11257" width="9.140625" style="60" customWidth="1"/>
    <col min="11258" max="11258" width="11" style="60" customWidth="1"/>
    <col min="11259" max="11506" width="9.140625" style="60" customWidth="1"/>
    <col min="11507" max="11507" width="43.28515625" style="60" customWidth="1"/>
    <col min="11508" max="11508" width="4" style="60" customWidth="1"/>
    <col min="11509" max="11509" width="3.5703125" style="60" customWidth="1"/>
    <col min="11510" max="11510" width="34.5703125" style="60" customWidth="1"/>
    <col min="11511" max="11511" width="4.5703125" style="60" customWidth="1"/>
    <col min="11512" max="11513" width="9.140625" style="60" customWidth="1"/>
    <col min="11514" max="11514" width="11" style="60" customWidth="1"/>
    <col min="11515" max="11762" width="9.140625" style="60" customWidth="1"/>
    <col min="11763" max="11763" width="43.28515625" style="60" customWidth="1"/>
    <col min="11764" max="11764" width="4" style="60" customWidth="1"/>
    <col min="11765" max="11765" width="3.5703125" style="60" customWidth="1"/>
    <col min="11766" max="11766" width="34.5703125" style="60" customWidth="1"/>
    <col min="11767" max="11767" width="4.5703125" style="60" customWidth="1"/>
    <col min="11768" max="11769" width="9.140625" style="60" customWidth="1"/>
    <col min="11770" max="11770" width="11" style="60" customWidth="1"/>
    <col min="11771" max="12018" width="9.140625" style="60" customWidth="1"/>
    <col min="12019" max="12019" width="43.28515625" style="60" customWidth="1"/>
    <col min="12020" max="12020" width="4" style="60" customWidth="1"/>
    <col min="12021" max="12021" width="3.5703125" style="60" customWidth="1"/>
    <col min="12022" max="12022" width="34.5703125" style="60" customWidth="1"/>
    <col min="12023" max="12023" width="4.5703125" style="60" customWidth="1"/>
    <col min="12024" max="12025" width="9.140625" style="60" customWidth="1"/>
    <col min="12026" max="12026" width="11" style="60" customWidth="1"/>
    <col min="12027" max="12274" width="9.140625" style="60" customWidth="1"/>
    <col min="12275" max="12275" width="43.28515625" style="60" customWidth="1"/>
    <col min="12276" max="12276" width="4" style="60" customWidth="1"/>
    <col min="12277" max="12277" width="3.5703125" style="60" customWidth="1"/>
    <col min="12278" max="12278" width="34.5703125" style="60" customWidth="1"/>
    <col min="12279" max="12279" width="4.5703125" style="60" customWidth="1"/>
    <col min="12280" max="12281" width="9.140625" style="60" customWidth="1"/>
    <col min="12282" max="12282" width="11" style="60" customWidth="1"/>
    <col min="12283" max="12530" width="9.140625" style="60" customWidth="1"/>
    <col min="12531" max="12531" width="43.28515625" style="60" customWidth="1"/>
    <col min="12532" max="12532" width="4" style="60" customWidth="1"/>
    <col min="12533" max="12533" width="3.5703125" style="60" customWidth="1"/>
    <col min="12534" max="12534" width="34.5703125" style="60" customWidth="1"/>
    <col min="12535" max="12535" width="4.5703125" style="60" customWidth="1"/>
    <col min="12536" max="12537" width="9.140625" style="60" customWidth="1"/>
    <col min="12538" max="12538" width="11" style="60" customWidth="1"/>
    <col min="12539" max="12786" width="9.140625" style="60" customWidth="1"/>
    <col min="12787" max="12787" width="43.28515625" style="60" customWidth="1"/>
    <col min="12788" max="12788" width="4" style="60" customWidth="1"/>
    <col min="12789" max="12789" width="3.5703125" style="60" customWidth="1"/>
    <col min="12790" max="12790" width="34.5703125" style="60" customWidth="1"/>
    <col min="12791" max="12791" width="4.5703125" style="60" customWidth="1"/>
    <col min="12792" max="12793" width="9.140625" style="60" customWidth="1"/>
    <col min="12794" max="12794" width="11" style="60" customWidth="1"/>
    <col min="12795" max="13042" width="9.140625" style="60" customWidth="1"/>
    <col min="13043" max="13043" width="43.28515625" style="60" customWidth="1"/>
    <col min="13044" max="13044" width="4" style="60" customWidth="1"/>
    <col min="13045" max="13045" width="3.5703125" style="60" customWidth="1"/>
    <col min="13046" max="13046" width="34.5703125" style="60" customWidth="1"/>
    <col min="13047" max="13047" width="4.5703125" style="60" customWidth="1"/>
    <col min="13048" max="13049" width="9.140625" style="60" customWidth="1"/>
    <col min="13050" max="13050" width="11" style="60" customWidth="1"/>
    <col min="13051" max="13298" width="9.140625" style="60" customWidth="1"/>
    <col min="13299" max="13299" width="43.28515625" style="60" customWidth="1"/>
    <col min="13300" max="13300" width="4" style="60" customWidth="1"/>
    <col min="13301" max="13301" width="3.5703125" style="60" customWidth="1"/>
    <col min="13302" max="13302" width="34.5703125" style="60" customWidth="1"/>
    <col min="13303" max="13303" width="4.5703125" style="60" customWidth="1"/>
    <col min="13304" max="13305" width="9.140625" style="60" customWidth="1"/>
    <col min="13306" max="13306" width="11" style="60" customWidth="1"/>
    <col min="13307" max="13554" width="9.140625" style="60" customWidth="1"/>
    <col min="13555" max="13555" width="43.28515625" style="60" customWidth="1"/>
    <col min="13556" max="13556" width="4" style="60" customWidth="1"/>
    <col min="13557" max="13557" width="3.5703125" style="60" customWidth="1"/>
    <col min="13558" max="13558" width="34.5703125" style="60" customWidth="1"/>
    <col min="13559" max="13559" width="4.5703125" style="60" customWidth="1"/>
    <col min="13560" max="13561" width="9.140625" style="60" customWidth="1"/>
    <col min="13562" max="13562" width="11" style="60" customWidth="1"/>
    <col min="13563" max="13810" width="9.140625" style="60" customWidth="1"/>
    <col min="13811" max="13811" width="43.28515625" style="60" customWidth="1"/>
    <col min="13812" max="13812" width="4" style="60" customWidth="1"/>
    <col min="13813" max="13813" width="3.5703125" style="60" customWidth="1"/>
    <col min="13814" max="13814" width="34.5703125" style="60" customWidth="1"/>
    <col min="13815" max="13815" width="4.5703125" style="60" customWidth="1"/>
    <col min="13816" max="13817" width="9.140625" style="60" customWidth="1"/>
    <col min="13818" max="13818" width="11" style="60" customWidth="1"/>
    <col min="13819" max="14066" width="9.140625" style="60" customWidth="1"/>
    <col min="14067" max="14067" width="43.28515625" style="60" customWidth="1"/>
    <col min="14068" max="14068" width="4" style="60" customWidth="1"/>
    <col min="14069" max="14069" width="3.5703125" style="60" customWidth="1"/>
    <col min="14070" max="14070" width="34.5703125" style="60" customWidth="1"/>
    <col min="14071" max="14071" width="4.5703125" style="60" customWidth="1"/>
    <col min="14072" max="14073" width="9.140625" style="60" customWidth="1"/>
    <col min="14074" max="14074" width="11" style="60" customWidth="1"/>
    <col min="14075" max="14322" width="9.140625" style="60" customWidth="1"/>
    <col min="14323" max="14323" width="43.28515625" style="60" customWidth="1"/>
    <col min="14324" max="14324" width="4" style="60" customWidth="1"/>
    <col min="14325" max="14325" width="3.5703125" style="60" customWidth="1"/>
    <col min="14326" max="14326" width="34.5703125" style="60" customWidth="1"/>
    <col min="14327" max="14327" width="4.5703125" style="60" customWidth="1"/>
    <col min="14328" max="14329" width="9.140625" style="60" customWidth="1"/>
    <col min="14330" max="14330" width="11" style="60" customWidth="1"/>
    <col min="14331" max="14578" width="9.140625" style="60" customWidth="1"/>
    <col min="14579" max="14579" width="43.28515625" style="60" customWidth="1"/>
    <col min="14580" max="14580" width="4" style="60" customWidth="1"/>
    <col min="14581" max="14581" width="3.5703125" style="60" customWidth="1"/>
    <col min="14582" max="14582" width="34.5703125" style="60" customWidth="1"/>
    <col min="14583" max="14583" width="4.5703125" style="60" customWidth="1"/>
    <col min="14584" max="14585" width="9.140625" style="60" customWidth="1"/>
    <col min="14586" max="14586" width="11" style="60" customWidth="1"/>
    <col min="14587" max="14834" width="9.140625" style="60" customWidth="1"/>
    <col min="14835" max="14835" width="43.28515625" style="60" customWidth="1"/>
    <col min="14836" max="14836" width="4" style="60" customWidth="1"/>
    <col min="14837" max="14837" width="3.5703125" style="60" customWidth="1"/>
    <col min="14838" max="14838" width="34.5703125" style="60" customWidth="1"/>
    <col min="14839" max="14839" width="4.5703125" style="60" customWidth="1"/>
    <col min="14840" max="14841" width="9.140625" style="60" customWidth="1"/>
    <col min="14842" max="14842" width="11" style="60" customWidth="1"/>
    <col min="14843" max="15090" width="9.140625" style="60" customWidth="1"/>
    <col min="15091" max="15091" width="43.28515625" style="60" customWidth="1"/>
    <col min="15092" max="15092" width="4" style="60" customWidth="1"/>
    <col min="15093" max="15093" width="3.5703125" style="60" customWidth="1"/>
    <col min="15094" max="15094" width="34.5703125" style="60" customWidth="1"/>
    <col min="15095" max="15095" width="4.5703125" style="60" customWidth="1"/>
    <col min="15096" max="15097" width="9.140625" style="60" customWidth="1"/>
    <col min="15098" max="15098" width="11" style="60" customWidth="1"/>
    <col min="15099" max="15346" width="9.140625" style="60" customWidth="1"/>
    <col min="15347" max="15347" width="43.28515625" style="60" customWidth="1"/>
    <col min="15348" max="15348" width="4" style="60" customWidth="1"/>
    <col min="15349" max="15349" width="3.5703125" style="60" customWidth="1"/>
    <col min="15350" max="15350" width="34.5703125" style="60" customWidth="1"/>
    <col min="15351" max="15351" width="4.5703125" style="60" customWidth="1"/>
    <col min="15352" max="15353" width="9.140625" style="60" customWidth="1"/>
    <col min="15354" max="15354" width="11" style="60" customWidth="1"/>
    <col min="15355" max="15602" width="9.140625" style="60" customWidth="1"/>
    <col min="15603" max="15603" width="43.28515625" style="60" customWidth="1"/>
    <col min="15604" max="15604" width="4" style="60" customWidth="1"/>
    <col min="15605" max="15605" width="3.5703125" style="60" customWidth="1"/>
    <col min="15606" max="15606" width="34.5703125" style="60" customWidth="1"/>
    <col min="15607" max="15607" width="4.5703125" style="60" customWidth="1"/>
    <col min="15608" max="15609" width="9.140625" style="60" customWidth="1"/>
    <col min="15610" max="15610" width="11" style="60" customWidth="1"/>
    <col min="15611" max="15858" width="9.140625" style="60" customWidth="1"/>
    <col min="15859" max="15859" width="43.28515625" style="60" customWidth="1"/>
    <col min="15860" max="15860" width="4" style="60" customWidth="1"/>
    <col min="15861" max="15861" width="3.5703125" style="60" customWidth="1"/>
    <col min="15862" max="15862" width="34.5703125" style="60" customWidth="1"/>
    <col min="15863" max="15863" width="4.5703125" style="60" customWidth="1"/>
    <col min="15864" max="15865" width="9.140625" style="60" customWidth="1"/>
    <col min="15866" max="15866" width="11" style="60" customWidth="1"/>
    <col min="15867" max="16114" width="9.140625" style="60" customWidth="1"/>
    <col min="16115" max="16115" width="43.28515625" style="60" customWidth="1"/>
    <col min="16116" max="16116" width="4" style="60" customWidth="1"/>
    <col min="16117" max="16117" width="3.5703125" style="60" customWidth="1"/>
    <col min="16118" max="16118" width="34.5703125" style="60" customWidth="1"/>
    <col min="16119" max="16119" width="4.5703125" style="60" customWidth="1"/>
    <col min="16120" max="16121" width="9.140625" style="60" customWidth="1"/>
    <col min="16122" max="16122" width="11" style="60" customWidth="1"/>
    <col min="16123" max="16370" width="9.140625" style="60" customWidth="1"/>
    <col min="16371" max="16384" width="9.140625" style="60"/>
  </cols>
  <sheetData>
    <row r="1" spans="1:5" ht="15.75" customHeight="1" x14ac:dyDescent="0.25">
      <c r="A1" s="107" t="s">
        <v>62</v>
      </c>
      <c r="B1" s="107"/>
      <c r="C1" s="107"/>
      <c r="D1" s="107"/>
    </row>
    <row r="2" spans="1:5" s="59" customFormat="1" ht="26.25" customHeight="1" x14ac:dyDescent="0.25">
      <c r="A2" s="107" t="s">
        <v>63</v>
      </c>
      <c r="B2" s="107"/>
      <c r="C2" s="107"/>
      <c r="D2" s="107"/>
    </row>
    <row r="3" spans="1:5" s="59" customFormat="1" ht="26.25" customHeight="1" x14ac:dyDescent="0.2">
      <c r="A3" s="108" t="s">
        <v>116</v>
      </c>
      <c r="B3" s="108"/>
      <c r="C3" s="108"/>
      <c r="D3" s="108"/>
      <c r="E3" s="59" t="s">
        <v>64</v>
      </c>
    </row>
    <row r="4" spans="1:5" s="59" customFormat="1" ht="80.25" customHeight="1" x14ac:dyDescent="0.2">
      <c r="A4" s="109" t="s">
        <v>89</v>
      </c>
      <c r="B4" s="109"/>
      <c r="C4" s="109"/>
      <c r="D4" s="109"/>
    </row>
    <row r="5" spans="1:5" s="59" customFormat="1" ht="45.75" customHeight="1" x14ac:dyDescent="0.2">
      <c r="A5" s="110" t="s">
        <v>87</v>
      </c>
      <c r="B5" s="110"/>
      <c r="C5" s="110"/>
      <c r="D5" s="110"/>
    </row>
    <row r="6" spans="1:5" s="59" customFormat="1" ht="24" customHeight="1" x14ac:dyDescent="0.2">
      <c r="A6" s="106" t="s">
        <v>65</v>
      </c>
      <c r="B6" s="106"/>
      <c r="C6" s="106"/>
      <c r="D6" s="61" t="s">
        <v>66</v>
      </c>
    </row>
    <row r="7" spans="1:5" s="59" customFormat="1" ht="21.75" customHeight="1" thickBot="1" x14ac:dyDescent="0.25"/>
    <row r="8" spans="1:5" ht="15.75" customHeight="1" thickBot="1" x14ac:dyDescent="0.25">
      <c r="A8" s="103" t="s">
        <v>67</v>
      </c>
      <c r="B8" s="103"/>
      <c r="C8" s="103"/>
      <c r="D8" s="62" t="s">
        <v>68</v>
      </c>
    </row>
    <row r="9" spans="1:5" ht="15.75" customHeight="1" x14ac:dyDescent="0.25">
      <c r="A9" s="104" t="s">
        <v>60</v>
      </c>
      <c r="B9" s="104"/>
      <c r="C9" s="104"/>
      <c r="D9" s="98">
        <f>1.04423494*1000</f>
        <v>1044.2349400000001</v>
      </c>
    </row>
    <row r="10" spans="1:5" ht="15.75" customHeight="1" x14ac:dyDescent="0.25">
      <c r="A10" s="104" t="s">
        <v>69</v>
      </c>
      <c r="B10" s="104"/>
      <c r="C10" s="104"/>
      <c r="D10" s="98">
        <f>5.78788585*1000</f>
        <v>5787.8858499999997</v>
      </c>
    </row>
    <row r="11" spans="1:5" ht="15.75" customHeight="1" x14ac:dyDescent="0.25">
      <c r="A11" s="104" t="s">
        <v>70</v>
      </c>
      <c r="B11" s="104"/>
      <c r="C11" s="104"/>
      <c r="D11" s="98">
        <v>0</v>
      </c>
    </row>
    <row r="12" spans="1:5" ht="15.75" customHeight="1" x14ac:dyDescent="0.25">
      <c r="A12" s="105" t="s">
        <v>71</v>
      </c>
      <c r="B12" s="105"/>
      <c r="C12" s="105"/>
      <c r="D12" s="98">
        <f>0.17633559*1000</f>
        <v>176.33559</v>
      </c>
    </row>
    <row r="13" spans="1:5" ht="15.75" customHeight="1" x14ac:dyDescent="0.25">
      <c r="A13" s="102" t="s">
        <v>72</v>
      </c>
      <c r="B13" s="102"/>
      <c r="C13" s="102"/>
      <c r="D13" s="99">
        <f>SUM(D9:D12)</f>
        <v>7008.4563799999996</v>
      </c>
    </row>
    <row r="14" spans="1:5" ht="15.75" customHeight="1" x14ac:dyDescent="0.25">
      <c r="A14" s="102" t="s">
        <v>117</v>
      </c>
      <c r="B14" s="102"/>
      <c r="C14" s="102"/>
      <c r="D14" s="98">
        <f>ROUND(D13*0.2,5)</f>
        <v>1401.69128</v>
      </c>
    </row>
    <row r="15" spans="1:5" ht="15.75" customHeight="1" x14ac:dyDescent="0.25">
      <c r="A15" s="102" t="s">
        <v>73</v>
      </c>
      <c r="B15" s="102"/>
      <c r="C15" s="102"/>
      <c r="D15" s="99">
        <f>D13+D14</f>
        <v>8410.1476600000005</v>
      </c>
    </row>
    <row r="16" spans="1:5" ht="11.25" customHeight="1" x14ac:dyDescent="0.2"/>
    <row r="22" spans="4:4" x14ac:dyDescent="0.2">
      <c r="D22" s="59">
        <f>[1]МРСК!$GS$620+[1]МРСК!$RR$620-[1]МРСК!$SC$620</f>
        <v>0</v>
      </c>
    </row>
  </sheetData>
  <mergeCells count="14">
    <mergeCell ref="A6:C6"/>
    <mergeCell ref="A1:D1"/>
    <mergeCell ref="A2:D2"/>
    <mergeCell ref="A3:D3"/>
    <mergeCell ref="A4:D4"/>
    <mergeCell ref="A5:D5"/>
    <mergeCell ref="A14:C14"/>
    <mergeCell ref="A15:C15"/>
    <mergeCell ref="A8:C8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08C7C-6162-4E82-A5B0-AEF786C88BD8}">
  <dimension ref="A1:E22"/>
  <sheetViews>
    <sheetView workbookViewId="0">
      <selection activeCell="D19" sqref="D19"/>
    </sheetView>
  </sheetViews>
  <sheetFormatPr defaultRowHeight="11.25" x14ac:dyDescent="0.2"/>
  <cols>
    <col min="1" max="1" width="43.28515625" style="59" customWidth="1"/>
    <col min="2" max="2" width="4" style="59" customWidth="1"/>
    <col min="3" max="3" width="3.5703125" style="59" customWidth="1"/>
    <col min="4" max="4" width="34.5703125" style="59" customWidth="1"/>
    <col min="5" max="5" width="4.5703125" style="59" customWidth="1"/>
    <col min="6" max="242" width="9.140625" style="60" customWidth="1"/>
    <col min="243" max="243" width="43.28515625" style="60" customWidth="1"/>
    <col min="244" max="244" width="4" style="60" customWidth="1"/>
    <col min="245" max="245" width="3.5703125" style="60" customWidth="1"/>
    <col min="246" max="246" width="34.5703125" style="60" customWidth="1"/>
    <col min="247" max="247" width="4.5703125" style="60" customWidth="1"/>
    <col min="248" max="249" width="9.140625" style="60" customWidth="1"/>
    <col min="250" max="250" width="11" style="60" customWidth="1"/>
    <col min="251" max="498" width="9.140625" style="60" customWidth="1"/>
    <col min="499" max="499" width="43.28515625" style="60" customWidth="1"/>
    <col min="500" max="500" width="4" style="60" customWidth="1"/>
    <col min="501" max="501" width="3.5703125" style="60" customWidth="1"/>
    <col min="502" max="502" width="34.5703125" style="60" customWidth="1"/>
    <col min="503" max="503" width="4.5703125" style="60" customWidth="1"/>
    <col min="504" max="505" width="9.140625" style="60" customWidth="1"/>
    <col min="506" max="506" width="11" style="60" customWidth="1"/>
    <col min="507" max="754" width="9.140625" style="60" customWidth="1"/>
    <col min="755" max="755" width="43.28515625" style="60" customWidth="1"/>
    <col min="756" max="756" width="4" style="60" customWidth="1"/>
    <col min="757" max="757" width="3.5703125" style="60" customWidth="1"/>
    <col min="758" max="758" width="34.5703125" style="60" customWidth="1"/>
    <col min="759" max="759" width="4.5703125" style="60" customWidth="1"/>
    <col min="760" max="761" width="9.140625" style="60" customWidth="1"/>
    <col min="762" max="762" width="11" style="60" customWidth="1"/>
    <col min="763" max="1010" width="9.140625" style="60" customWidth="1"/>
    <col min="1011" max="1011" width="43.28515625" style="60" customWidth="1"/>
    <col min="1012" max="1012" width="4" style="60" customWidth="1"/>
    <col min="1013" max="1013" width="3.5703125" style="60" customWidth="1"/>
    <col min="1014" max="1014" width="34.5703125" style="60" customWidth="1"/>
    <col min="1015" max="1015" width="4.5703125" style="60" customWidth="1"/>
    <col min="1016" max="1017" width="9.140625" style="60" customWidth="1"/>
    <col min="1018" max="1018" width="11" style="60" customWidth="1"/>
    <col min="1019" max="1266" width="9.140625" style="60" customWidth="1"/>
    <col min="1267" max="1267" width="43.28515625" style="60" customWidth="1"/>
    <col min="1268" max="1268" width="4" style="60" customWidth="1"/>
    <col min="1269" max="1269" width="3.5703125" style="60" customWidth="1"/>
    <col min="1270" max="1270" width="34.5703125" style="60" customWidth="1"/>
    <col min="1271" max="1271" width="4.5703125" style="60" customWidth="1"/>
    <col min="1272" max="1273" width="9.140625" style="60" customWidth="1"/>
    <col min="1274" max="1274" width="11" style="60" customWidth="1"/>
    <col min="1275" max="1522" width="9.140625" style="60" customWidth="1"/>
    <col min="1523" max="1523" width="43.28515625" style="60" customWidth="1"/>
    <col min="1524" max="1524" width="4" style="60" customWidth="1"/>
    <col min="1525" max="1525" width="3.5703125" style="60" customWidth="1"/>
    <col min="1526" max="1526" width="34.5703125" style="60" customWidth="1"/>
    <col min="1527" max="1527" width="4.5703125" style="60" customWidth="1"/>
    <col min="1528" max="1529" width="9.140625" style="60" customWidth="1"/>
    <col min="1530" max="1530" width="11" style="60" customWidth="1"/>
    <col min="1531" max="1778" width="9.140625" style="60" customWidth="1"/>
    <col min="1779" max="1779" width="43.28515625" style="60" customWidth="1"/>
    <col min="1780" max="1780" width="4" style="60" customWidth="1"/>
    <col min="1781" max="1781" width="3.5703125" style="60" customWidth="1"/>
    <col min="1782" max="1782" width="34.5703125" style="60" customWidth="1"/>
    <col min="1783" max="1783" width="4.5703125" style="60" customWidth="1"/>
    <col min="1784" max="1785" width="9.140625" style="60" customWidth="1"/>
    <col min="1786" max="1786" width="11" style="60" customWidth="1"/>
    <col min="1787" max="2034" width="9.140625" style="60" customWidth="1"/>
    <col min="2035" max="2035" width="43.28515625" style="60" customWidth="1"/>
    <col min="2036" max="2036" width="4" style="60" customWidth="1"/>
    <col min="2037" max="2037" width="3.5703125" style="60" customWidth="1"/>
    <col min="2038" max="2038" width="34.5703125" style="60" customWidth="1"/>
    <col min="2039" max="2039" width="4.5703125" style="60" customWidth="1"/>
    <col min="2040" max="2041" width="9.140625" style="60" customWidth="1"/>
    <col min="2042" max="2042" width="11" style="60" customWidth="1"/>
    <col min="2043" max="2290" width="9.140625" style="60" customWidth="1"/>
    <col min="2291" max="2291" width="43.28515625" style="60" customWidth="1"/>
    <col min="2292" max="2292" width="4" style="60" customWidth="1"/>
    <col min="2293" max="2293" width="3.5703125" style="60" customWidth="1"/>
    <col min="2294" max="2294" width="34.5703125" style="60" customWidth="1"/>
    <col min="2295" max="2295" width="4.5703125" style="60" customWidth="1"/>
    <col min="2296" max="2297" width="9.140625" style="60" customWidth="1"/>
    <col min="2298" max="2298" width="11" style="60" customWidth="1"/>
    <col min="2299" max="2546" width="9.140625" style="60" customWidth="1"/>
    <col min="2547" max="2547" width="43.28515625" style="60" customWidth="1"/>
    <col min="2548" max="2548" width="4" style="60" customWidth="1"/>
    <col min="2549" max="2549" width="3.5703125" style="60" customWidth="1"/>
    <col min="2550" max="2550" width="34.5703125" style="60" customWidth="1"/>
    <col min="2551" max="2551" width="4.5703125" style="60" customWidth="1"/>
    <col min="2552" max="2553" width="9.140625" style="60" customWidth="1"/>
    <col min="2554" max="2554" width="11" style="60" customWidth="1"/>
    <col min="2555" max="2802" width="9.140625" style="60" customWidth="1"/>
    <col min="2803" max="2803" width="43.28515625" style="60" customWidth="1"/>
    <col min="2804" max="2804" width="4" style="60" customWidth="1"/>
    <col min="2805" max="2805" width="3.5703125" style="60" customWidth="1"/>
    <col min="2806" max="2806" width="34.5703125" style="60" customWidth="1"/>
    <col min="2807" max="2807" width="4.5703125" style="60" customWidth="1"/>
    <col min="2808" max="2809" width="9.140625" style="60" customWidth="1"/>
    <col min="2810" max="2810" width="11" style="60" customWidth="1"/>
    <col min="2811" max="3058" width="9.140625" style="60" customWidth="1"/>
    <col min="3059" max="3059" width="43.28515625" style="60" customWidth="1"/>
    <col min="3060" max="3060" width="4" style="60" customWidth="1"/>
    <col min="3061" max="3061" width="3.5703125" style="60" customWidth="1"/>
    <col min="3062" max="3062" width="34.5703125" style="60" customWidth="1"/>
    <col min="3063" max="3063" width="4.5703125" style="60" customWidth="1"/>
    <col min="3064" max="3065" width="9.140625" style="60" customWidth="1"/>
    <col min="3066" max="3066" width="11" style="60" customWidth="1"/>
    <col min="3067" max="3314" width="9.140625" style="60" customWidth="1"/>
    <col min="3315" max="3315" width="43.28515625" style="60" customWidth="1"/>
    <col min="3316" max="3316" width="4" style="60" customWidth="1"/>
    <col min="3317" max="3317" width="3.5703125" style="60" customWidth="1"/>
    <col min="3318" max="3318" width="34.5703125" style="60" customWidth="1"/>
    <col min="3319" max="3319" width="4.5703125" style="60" customWidth="1"/>
    <col min="3320" max="3321" width="9.140625" style="60" customWidth="1"/>
    <col min="3322" max="3322" width="11" style="60" customWidth="1"/>
    <col min="3323" max="3570" width="9.140625" style="60" customWidth="1"/>
    <col min="3571" max="3571" width="43.28515625" style="60" customWidth="1"/>
    <col min="3572" max="3572" width="4" style="60" customWidth="1"/>
    <col min="3573" max="3573" width="3.5703125" style="60" customWidth="1"/>
    <col min="3574" max="3574" width="34.5703125" style="60" customWidth="1"/>
    <col min="3575" max="3575" width="4.5703125" style="60" customWidth="1"/>
    <col min="3576" max="3577" width="9.140625" style="60" customWidth="1"/>
    <col min="3578" max="3578" width="11" style="60" customWidth="1"/>
    <col min="3579" max="3826" width="9.140625" style="60" customWidth="1"/>
    <col min="3827" max="3827" width="43.28515625" style="60" customWidth="1"/>
    <col min="3828" max="3828" width="4" style="60" customWidth="1"/>
    <col min="3829" max="3829" width="3.5703125" style="60" customWidth="1"/>
    <col min="3830" max="3830" width="34.5703125" style="60" customWidth="1"/>
    <col min="3831" max="3831" width="4.5703125" style="60" customWidth="1"/>
    <col min="3832" max="3833" width="9.140625" style="60" customWidth="1"/>
    <col min="3834" max="3834" width="11" style="60" customWidth="1"/>
    <col min="3835" max="4082" width="9.140625" style="60" customWidth="1"/>
    <col min="4083" max="4083" width="43.28515625" style="60" customWidth="1"/>
    <col min="4084" max="4084" width="4" style="60" customWidth="1"/>
    <col min="4085" max="4085" width="3.5703125" style="60" customWidth="1"/>
    <col min="4086" max="4086" width="34.5703125" style="60" customWidth="1"/>
    <col min="4087" max="4087" width="4.5703125" style="60" customWidth="1"/>
    <col min="4088" max="4089" width="9.140625" style="60" customWidth="1"/>
    <col min="4090" max="4090" width="11" style="60" customWidth="1"/>
    <col min="4091" max="4338" width="9.140625" style="60" customWidth="1"/>
    <col min="4339" max="4339" width="43.28515625" style="60" customWidth="1"/>
    <col min="4340" max="4340" width="4" style="60" customWidth="1"/>
    <col min="4341" max="4341" width="3.5703125" style="60" customWidth="1"/>
    <col min="4342" max="4342" width="34.5703125" style="60" customWidth="1"/>
    <col min="4343" max="4343" width="4.5703125" style="60" customWidth="1"/>
    <col min="4344" max="4345" width="9.140625" style="60" customWidth="1"/>
    <col min="4346" max="4346" width="11" style="60" customWidth="1"/>
    <col min="4347" max="4594" width="9.140625" style="60" customWidth="1"/>
    <col min="4595" max="4595" width="43.28515625" style="60" customWidth="1"/>
    <col min="4596" max="4596" width="4" style="60" customWidth="1"/>
    <col min="4597" max="4597" width="3.5703125" style="60" customWidth="1"/>
    <col min="4598" max="4598" width="34.5703125" style="60" customWidth="1"/>
    <col min="4599" max="4599" width="4.5703125" style="60" customWidth="1"/>
    <col min="4600" max="4601" width="9.140625" style="60" customWidth="1"/>
    <col min="4602" max="4602" width="11" style="60" customWidth="1"/>
    <col min="4603" max="4850" width="9.140625" style="60" customWidth="1"/>
    <col min="4851" max="4851" width="43.28515625" style="60" customWidth="1"/>
    <col min="4852" max="4852" width="4" style="60" customWidth="1"/>
    <col min="4853" max="4853" width="3.5703125" style="60" customWidth="1"/>
    <col min="4854" max="4854" width="34.5703125" style="60" customWidth="1"/>
    <col min="4855" max="4855" width="4.5703125" style="60" customWidth="1"/>
    <col min="4856" max="4857" width="9.140625" style="60" customWidth="1"/>
    <col min="4858" max="4858" width="11" style="60" customWidth="1"/>
    <col min="4859" max="5106" width="9.140625" style="60" customWidth="1"/>
    <col min="5107" max="5107" width="43.28515625" style="60" customWidth="1"/>
    <col min="5108" max="5108" width="4" style="60" customWidth="1"/>
    <col min="5109" max="5109" width="3.5703125" style="60" customWidth="1"/>
    <col min="5110" max="5110" width="34.5703125" style="60" customWidth="1"/>
    <col min="5111" max="5111" width="4.5703125" style="60" customWidth="1"/>
    <col min="5112" max="5113" width="9.140625" style="60" customWidth="1"/>
    <col min="5114" max="5114" width="11" style="60" customWidth="1"/>
    <col min="5115" max="5362" width="9.140625" style="60" customWidth="1"/>
    <col min="5363" max="5363" width="43.28515625" style="60" customWidth="1"/>
    <col min="5364" max="5364" width="4" style="60" customWidth="1"/>
    <col min="5365" max="5365" width="3.5703125" style="60" customWidth="1"/>
    <col min="5366" max="5366" width="34.5703125" style="60" customWidth="1"/>
    <col min="5367" max="5367" width="4.5703125" style="60" customWidth="1"/>
    <col min="5368" max="5369" width="9.140625" style="60" customWidth="1"/>
    <col min="5370" max="5370" width="11" style="60" customWidth="1"/>
    <col min="5371" max="5618" width="9.140625" style="60" customWidth="1"/>
    <col min="5619" max="5619" width="43.28515625" style="60" customWidth="1"/>
    <col min="5620" max="5620" width="4" style="60" customWidth="1"/>
    <col min="5621" max="5621" width="3.5703125" style="60" customWidth="1"/>
    <col min="5622" max="5622" width="34.5703125" style="60" customWidth="1"/>
    <col min="5623" max="5623" width="4.5703125" style="60" customWidth="1"/>
    <col min="5624" max="5625" width="9.140625" style="60" customWidth="1"/>
    <col min="5626" max="5626" width="11" style="60" customWidth="1"/>
    <col min="5627" max="5874" width="9.140625" style="60" customWidth="1"/>
    <col min="5875" max="5875" width="43.28515625" style="60" customWidth="1"/>
    <col min="5876" max="5876" width="4" style="60" customWidth="1"/>
    <col min="5877" max="5877" width="3.5703125" style="60" customWidth="1"/>
    <col min="5878" max="5878" width="34.5703125" style="60" customWidth="1"/>
    <col min="5879" max="5879" width="4.5703125" style="60" customWidth="1"/>
    <col min="5880" max="5881" width="9.140625" style="60" customWidth="1"/>
    <col min="5882" max="5882" width="11" style="60" customWidth="1"/>
    <col min="5883" max="6130" width="9.140625" style="60" customWidth="1"/>
    <col min="6131" max="6131" width="43.28515625" style="60" customWidth="1"/>
    <col min="6132" max="6132" width="4" style="60" customWidth="1"/>
    <col min="6133" max="6133" width="3.5703125" style="60" customWidth="1"/>
    <col min="6134" max="6134" width="34.5703125" style="60" customWidth="1"/>
    <col min="6135" max="6135" width="4.5703125" style="60" customWidth="1"/>
    <col min="6136" max="6137" width="9.140625" style="60" customWidth="1"/>
    <col min="6138" max="6138" width="11" style="60" customWidth="1"/>
    <col min="6139" max="6386" width="9.140625" style="60" customWidth="1"/>
    <col min="6387" max="6387" width="43.28515625" style="60" customWidth="1"/>
    <col min="6388" max="6388" width="4" style="60" customWidth="1"/>
    <col min="6389" max="6389" width="3.5703125" style="60" customWidth="1"/>
    <col min="6390" max="6390" width="34.5703125" style="60" customWidth="1"/>
    <col min="6391" max="6391" width="4.5703125" style="60" customWidth="1"/>
    <col min="6392" max="6393" width="9.140625" style="60" customWidth="1"/>
    <col min="6394" max="6394" width="11" style="60" customWidth="1"/>
    <col min="6395" max="6642" width="9.140625" style="60" customWidth="1"/>
    <col min="6643" max="6643" width="43.28515625" style="60" customWidth="1"/>
    <col min="6644" max="6644" width="4" style="60" customWidth="1"/>
    <col min="6645" max="6645" width="3.5703125" style="60" customWidth="1"/>
    <col min="6646" max="6646" width="34.5703125" style="60" customWidth="1"/>
    <col min="6647" max="6647" width="4.5703125" style="60" customWidth="1"/>
    <col min="6648" max="6649" width="9.140625" style="60" customWidth="1"/>
    <col min="6650" max="6650" width="11" style="60" customWidth="1"/>
    <col min="6651" max="6898" width="9.140625" style="60" customWidth="1"/>
    <col min="6899" max="6899" width="43.28515625" style="60" customWidth="1"/>
    <col min="6900" max="6900" width="4" style="60" customWidth="1"/>
    <col min="6901" max="6901" width="3.5703125" style="60" customWidth="1"/>
    <col min="6902" max="6902" width="34.5703125" style="60" customWidth="1"/>
    <col min="6903" max="6903" width="4.5703125" style="60" customWidth="1"/>
    <col min="6904" max="6905" width="9.140625" style="60" customWidth="1"/>
    <col min="6906" max="6906" width="11" style="60" customWidth="1"/>
    <col min="6907" max="7154" width="9.140625" style="60" customWidth="1"/>
    <col min="7155" max="7155" width="43.28515625" style="60" customWidth="1"/>
    <col min="7156" max="7156" width="4" style="60" customWidth="1"/>
    <col min="7157" max="7157" width="3.5703125" style="60" customWidth="1"/>
    <col min="7158" max="7158" width="34.5703125" style="60" customWidth="1"/>
    <col min="7159" max="7159" width="4.5703125" style="60" customWidth="1"/>
    <col min="7160" max="7161" width="9.140625" style="60" customWidth="1"/>
    <col min="7162" max="7162" width="11" style="60" customWidth="1"/>
    <col min="7163" max="7410" width="9.140625" style="60" customWidth="1"/>
    <col min="7411" max="7411" width="43.28515625" style="60" customWidth="1"/>
    <col min="7412" max="7412" width="4" style="60" customWidth="1"/>
    <col min="7413" max="7413" width="3.5703125" style="60" customWidth="1"/>
    <col min="7414" max="7414" width="34.5703125" style="60" customWidth="1"/>
    <col min="7415" max="7415" width="4.5703125" style="60" customWidth="1"/>
    <col min="7416" max="7417" width="9.140625" style="60" customWidth="1"/>
    <col min="7418" max="7418" width="11" style="60" customWidth="1"/>
    <col min="7419" max="7666" width="9.140625" style="60" customWidth="1"/>
    <col min="7667" max="7667" width="43.28515625" style="60" customWidth="1"/>
    <col min="7668" max="7668" width="4" style="60" customWidth="1"/>
    <col min="7669" max="7669" width="3.5703125" style="60" customWidth="1"/>
    <col min="7670" max="7670" width="34.5703125" style="60" customWidth="1"/>
    <col min="7671" max="7671" width="4.5703125" style="60" customWidth="1"/>
    <col min="7672" max="7673" width="9.140625" style="60" customWidth="1"/>
    <col min="7674" max="7674" width="11" style="60" customWidth="1"/>
    <col min="7675" max="7922" width="9.140625" style="60" customWidth="1"/>
    <col min="7923" max="7923" width="43.28515625" style="60" customWidth="1"/>
    <col min="7924" max="7924" width="4" style="60" customWidth="1"/>
    <col min="7925" max="7925" width="3.5703125" style="60" customWidth="1"/>
    <col min="7926" max="7926" width="34.5703125" style="60" customWidth="1"/>
    <col min="7927" max="7927" width="4.5703125" style="60" customWidth="1"/>
    <col min="7928" max="7929" width="9.140625" style="60" customWidth="1"/>
    <col min="7930" max="7930" width="11" style="60" customWidth="1"/>
    <col min="7931" max="8178" width="9.140625" style="60" customWidth="1"/>
    <col min="8179" max="8179" width="43.28515625" style="60" customWidth="1"/>
    <col min="8180" max="8180" width="4" style="60" customWidth="1"/>
    <col min="8181" max="8181" width="3.5703125" style="60" customWidth="1"/>
    <col min="8182" max="8182" width="34.5703125" style="60" customWidth="1"/>
    <col min="8183" max="8183" width="4.5703125" style="60" customWidth="1"/>
    <col min="8184" max="8185" width="9.140625" style="60" customWidth="1"/>
    <col min="8186" max="8186" width="11" style="60" customWidth="1"/>
    <col min="8187" max="8434" width="9.140625" style="60" customWidth="1"/>
    <col min="8435" max="8435" width="43.28515625" style="60" customWidth="1"/>
    <col min="8436" max="8436" width="4" style="60" customWidth="1"/>
    <col min="8437" max="8437" width="3.5703125" style="60" customWidth="1"/>
    <col min="8438" max="8438" width="34.5703125" style="60" customWidth="1"/>
    <col min="8439" max="8439" width="4.5703125" style="60" customWidth="1"/>
    <col min="8440" max="8441" width="9.140625" style="60" customWidth="1"/>
    <col min="8442" max="8442" width="11" style="60" customWidth="1"/>
    <col min="8443" max="8690" width="9.140625" style="60" customWidth="1"/>
    <col min="8691" max="8691" width="43.28515625" style="60" customWidth="1"/>
    <col min="8692" max="8692" width="4" style="60" customWidth="1"/>
    <col min="8693" max="8693" width="3.5703125" style="60" customWidth="1"/>
    <col min="8694" max="8694" width="34.5703125" style="60" customWidth="1"/>
    <col min="8695" max="8695" width="4.5703125" style="60" customWidth="1"/>
    <col min="8696" max="8697" width="9.140625" style="60" customWidth="1"/>
    <col min="8698" max="8698" width="11" style="60" customWidth="1"/>
    <col min="8699" max="8946" width="9.140625" style="60" customWidth="1"/>
    <col min="8947" max="8947" width="43.28515625" style="60" customWidth="1"/>
    <col min="8948" max="8948" width="4" style="60" customWidth="1"/>
    <col min="8949" max="8949" width="3.5703125" style="60" customWidth="1"/>
    <col min="8950" max="8950" width="34.5703125" style="60" customWidth="1"/>
    <col min="8951" max="8951" width="4.5703125" style="60" customWidth="1"/>
    <col min="8952" max="8953" width="9.140625" style="60" customWidth="1"/>
    <col min="8954" max="8954" width="11" style="60" customWidth="1"/>
    <col min="8955" max="9202" width="9.140625" style="60" customWidth="1"/>
    <col min="9203" max="9203" width="43.28515625" style="60" customWidth="1"/>
    <col min="9204" max="9204" width="4" style="60" customWidth="1"/>
    <col min="9205" max="9205" width="3.5703125" style="60" customWidth="1"/>
    <col min="9206" max="9206" width="34.5703125" style="60" customWidth="1"/>
    <col min="9207" max="9207" width="4.5703125" style="60" customWidth="1"/>
    <col min="9208" max="9209" width="9.140625" style="60" customWidth="1"/>
    <col min="9210" max="9210" width="11" style="60" customWidth="1"/>
    <col min="9211" max="9458" width="9.140625" style="60" customWidth="1"/>
    <col min="9459" max="9459" width="43.28515625" style="60" customWidth="1"/>
    <col min="9460" max="9460" width="4" style="60" customWidth="1"/>
    <col min="9461" max="9461" width="3.5703125" style="60" customWidth="1"/>
    <col min="9462" max="9462" width="34.5703125" style="60" customWidth="1"/>
    <col min="9463" max="9463" width="4.5703125" style="60" customWidth="1"/>
    <col min="9464" max="9465" width="9.140625" style="60" customWidth="1"/>
    <col min="9466" max="9466" width="11" style="60" customWidth="1"/>
    <col min="9467" max="9714" width="9.140625" style="60" customWidth="1"/>
    <col min="9715" max="9715" width="43.28515625" style="60" customWidth="1"/>
    <col min="9716" max="9716" width="4" style="60" customWidth="1"/>
    <col min="9717" max="9717" width="3.5703125" style="60" customWidth="1"/>
    <col min="9718" max="9718" width="34.5703125" style="60" customWidth="1"/>
    <col min="9719" max="9719" width="4.5703125" style="60" customWidth="1"/>
    <col min="9720" max="9721" width="9.140625" style="60" customWidth="1"/>
    <col min="9722" max="9722" width="11" style="60" customWidth="1"/>
    <col min="9723" max="9970" width="9.140625" style="60" customWidth="1"/>
    <col min="9971" max="9971" width="43.28515625" style="60" customWidth="1"/>
    <col min="9972" max="9972" width="4" style="60" customWidth="1"/>
    <col min="9973" max="9973" width="3.5703125" style="60" customWidth="1"/>
    <col min="9974" max="9974" width="34.5703125" style="60" customWidth="1"/>
    <col min="9975" max="9975" width="4.5703125" style="60" customWidth="1"/>
    <col min="9976" max="9977" width="9.140625" style="60" customWidth="1"/>
    <col min="9978" max="9978" width="11" style="60" customWidth="1"/>
    <col min="9979" max="10226" width="9.140625" style="60" customWidth="1"/>
    <col min="10227" max="10227" width="43.28515625" style="60" customWidth="1"/>
    <col min="10228" max="10228" width="4" style="60" customWidth="1"/>
    <col min="10229" max="10229" width="3.5703125" style="60" customWidth="1"/>
    <col min="10230" max="10230" width="34.5703125" style="60" customWidth="1"/>
    <col min="10231" max="10231" width="4.5703125" style="60" customWidth="1"/>
    <col min="10232" max="10233" width="9.140625" style="60" customWidth="1"/>
    <col min="10234" max="10234" width="11" style="60" customWidth="1"/>
    <col min="10235" max="10482" width="9.140625" style="60" customWidth="1"/>
    <col min="10483" max="10483" width="43.28515625" style="60" customWidth="1"/>
    <col min="10484" max="10484" width="4" style="60" customWidth="1"/>
    <col min="10485" max="10485" width="3.5703125" style="60" customWidth="1"/>
    <col min="10486" max="10486" width="34.5703125" style="60" customWidth="1"/>
    <col min="10487" max="10487" width="4.5703125" style="60" customWidth="1"/>
    <col min="10488" max="10489" width="9.140625" style="60" customWidth="1"/>
    <col min="10490" max="10490" width="11" style="60" customWidth="1"/>
    <col min="10491" max="10738" width="9.140625" style="60" customWidth="1"/>
    <col min="10739" max="10739" width="43.28515625" style="60" customWidth="1"/>
    <col min="10740" max="10740" width="4" style="60" customWidth="1"/>
    <col min="10741" max="10741" width="3.5703125" style="60" customWidth="1"/>
    <col min="10742" max="10742" width="34.5703125" style="60" customWidth="1"/>
    <col min="10743" max="10743" width="4.5703125" style="60" customWidth="1"/>
    <col min="10744" max="10745" width="9.140625" style="60" customWidth="1"/>
    <col min="10746" max="10746" width="11" style="60" customWidth="1"/>
    <col min="10747" max="10994" width="9.140625" style="60" customWidth="1"/>
    <col min="10995" max="10995" width="43.28515625" style="60" customWidth="1"/>
    <col min="10996" max="10996" width="4" style="60" customWidth="1"/>
    <col min="10997" max="10997" width="3.5703125" style="60" customWidth="1"/>
    <col min="10998" max="10998" width="34.5703125" style="60" customWidth="1"/>
    <col min="10999" max="10999" width="4.5703125" style="60" customWidth="1"/>
    <col min="11000" max="11001" width="9.140625" style="60" customWidth="1"/>
    <col min="11002" max="11002" width="11" style="60" customWidth="1"/>
    <col min="11003" max="11250" width="9.140625" style="60" customWidth="1"/>
    <col min="11251" max="11251" width="43.28515625" style="60" customWidth="1"/>
    <col min="11252" max="11252" width="4" style="60" customWidth="1"/>
    <col min="11253" max="11253" width="3.5703125" style="60" customWidth="1"/>
    <col min="11254" max="11254" width="34.5703125" style="60" customWidth="1"/>
    <col min="11255" max="11255" width="4.5703125" style="60" customWidth="1"/>
    <col min="11256" max="11257" width="9.140625" style="60" customWidth="1"/>
    <col min="11258" max="11258" width="11" style="60" customWidth="1"/>
    <col min="11259" max="11506" width="9.140625" style="60" customWidth="1"/>
    <col min="11507" max="11507" width="43.28515625" style="60" customWidth="1"/>
    <col min="11508" max="11508" width="4" style="60" customWidth="1"/>
    <col min="11509" max="11509" width="3.5703125" style="60" customWidth="1"/>
    <col min="11510" max="11510" width="34.5703125" style="60" customWidth="1"/>
    <col min="11511" max="11511" width="4.5703125" style="60" customWidth="1"/>
    <col min="11512" max="11513" width="9.140625" style="60" customWidth="1"/>
    <col min="11514" max="11514" width="11" style="60" customWidth="1"/>
    <col min="11515" max="11762" width="9.140625" style="60" customWidth="1"/>
    <col min="11763" max="11763" width="43.28515625" style="60" customWidth="1"/>
    <col min="11764" max="11764" width="4" style="60" customWidth="1"/>
    <col min="11765" max="11765" width="3.5703125" style="60" customWidth="1"/>
    <col min="11766" max="11766" width="34.5703125" style="60" customWidth="1"/>
    <col min="11767" max="11767" width="4.5703125" style="60" customWidth="1"/>
    <col min="11768" max="11769" width="9.140625" style="60" customWidth="1"/>
    <col min="11770" max="11770" width="11" style="60" customWidth="1"/>
    <col min="11771" max="12018" width="9.140625" style="60" customWidth="1"/>
    <col min="12019" max="12019" width="43.28515625" style="60" customWidth="1"/>
    <col min="12020" max="12020" width="4" style="60" customWidth="1"/>
    <col min="12021" max="12021" width="3.5703125" style="60" customWidth="1"/>
    <col min="12022" max="12022" width="34.5703125" style="60" customWidth="1"/>
    <col min="12023" max="12023" width="4.5703125" style="60" customWidth="1"/>
    <col min="12024" max="12025" width="9.140625" style="60" customWidth="1"/>
    <col min="12026" max="12026" width="11" style="60" customWidth="1"/>
    <col min="12027" max="12274" width="9.140625" style="60" customWidth="1"/>
    <col min="12275" max="12275" width="43.28515625" style="60" customWidth="1"/>
    <col min="12276" max="12276" width="4" style="60" customWidth="1"/>
    <col min="12277" max="12277" width="3.5703125" style="60" customWidth="1"/>
    <col min="12278" max="12278" width="34.5703125" style="60" customWidth="1"/>
    <col min="12279" max="12279" width="4.5703125" style="60" customWidth="1"/>
    <col min="12280" max="12281" width="9.140625" style="60" customWidth="1"/>
    <col min="12282" max="12282" width="11" style="60" customWidth="1"/>
    <col min="12283" max="12530" width="9.140625" style="60" customWidth="1"/>
    <col min="12531" max="12531" width="43.28515625" style="60" customWidth="1"/>
    <col min="12532" max="12532" width="4" style="60" customWidth="1"/>
    <col min="12533" max="12533" width="3.5703125" style="60" customWidth="1"/>
    <col min="12534" max="12534" width="34.5703125" style="60" customWidth="1"/>
    <col min="12535" max="12535" width="4.5703125" style="60" customWidth="1"/>
    <col min="12536" max="12537" width="9.140625" style="60" customWidth="1"/>
    <col min="12538" max="12538" width="11" style="60" customWidth="1"/>
    <col min="12539" max="12786" width="9.140625" style="60" customWidth="1"/>
    <col min="12787" max="12787" width="43.28515625" style="60" customWidth="1"/>
    <col min="12788" max="12788" width="4" style="60" customWidth="1"/>
    <col min="12789" max="12789" width="3.5703125" style="60" customWidth="1"/>
    <col min="12790" max="12790" width="34.5703125" style="60" customWidth="1"/>
    <col min="12791" max="12791" width="4.5703125" style="60" customWidth="1"/>
    <col min="12792" max="12793" width="9.140625" style="60" customWidth="1"/>
    <col min="12794" max="12794" width="11" style="60" customWidth="1"/>
    <col min="12795" max="13042" width="9.140625" style="60" customWidth="1"/>
    <col min="13043" max="13043" width="43.28515625" style="60" customWidth="1"/>
    <col min="13044" max="13044" width="4" style="60" customWidth="1"/>
    <col min="13045" max="13045" width="3.5703125" style="60" customWidth="1"/>
    <col min="13046" max="13046" width="34.5703125" style="60" customWidth="1"/>
    <col min="13047" max="13047" width="4.5703125" style="60" customWidth="1"/>
    <col min="13048" max="13049" width="9.140625" style="60" customWidth="1"/>
    <col min="13050" max="13050" width="11" style="60" customWidth="1"/>
    <col min="13051" max="13298" width="9.140625" style="60" customWidth="1"/>
    <col min="13299" max="13299" width="43.28515625" style="60" customWidth="1"/>
    <col min="13300" max="13300" width="4" style="60" customWidth="1"/>
    <col min="13301" max="13301" width="3.5703125" style="60" customWidth="1"/>
    <col min="13302" max="13302" width="34.5703125" style="60" customWidth="1"/>
    <col min="13303" max="13303" width="4.5703125" style="60" customWidth="1"/>
    <col min="13304" max="13305" width="9.140625" style="60" customWidth="1"/>
    <col min="13306" max="13306" width="11" style="60" customWidth="1"/>
    <col min="13307" max="13554" width="9.140625" style="60" customWidth="1"/>
    <col min="13555" max="13555" width="43.28515625" style="60" customWidth="1"/>
    <col min="13556" max="13556" width="4" style="60" customWidth="1"/>
    <col min="13557" max="13557" width="3.5703125" style="60" customWidth="1"/>
    <col min="13558" max="13558" width="34.5703125" style="60" customWidth="1"/>
    <col min="13559" max="13559" width="4.5703125" style="60" customWidth="1"/>
    <col min="13560" max="13561" width="9.140625" style="60" customWidth="1"/>
    <col min="13562" max="13562" width="11" style="60" customWidth="1"/>
    <col min="13563" max="13810" width="9.140625" style="60" customWidth="1"/>
    <col min="13811" max="13811" width="43.28515625" style="60" customWidth="1"/>
    <col min="13812" max="13812" width="4" style="60" customWidth="1"/>
    <col min="13813" max="13813" width="3.5703125" style="60" customWidth="1"/>
    <col min="13814" max="13814" width="34.5703125" style="60" customWidth="1"/>
    <col min="13815" max="13815" width="4.5703125" style="60" customWidth="1"/>
    <col min="13816" max="13817" width="9.140625" style="60" customWidth="1"/>
    <col min="13818" max="13818" width="11" style="60" customWidth="1"/>
    <col min="13819" max="14066" width="9.140625" style="60" customWidth="1"/>
    <col min="14067" max="14067" width="43.28515625" style="60" customWidth="1"/>
    <col min="14068" max="14068" width="4" style="60" customWidth="1"/>
    <col min="14069" max="14069" width="3.5703125" style="60" customWidth="1"/>
    <col min="14070" max="14070" width="34.5703125" style="60" customWidth="1"/>
    <col min="14071" max="14071" width="4.5703125" style="60" customWidth="1"/>
    <col min="14072" max="14073" width="9.140625" style="60" customWidth="1"/>
    <col min="14074" max="14074" width="11" style="60" customWidth="1"/>
    <col min="14075" max="14322" width="9.140625" style="60" customWidth="1"/>
    <col min="14323" max="14323" width="43.28515625" style="60" customWidth="1"/>
    <col min="14324" max="14324" width="4" style="60" customWidth="1"/>
    <col min="14325" max="14325" width="3.5703125" style="60" customWidth="1"/>
    <col min="14326" max="14326" width="34.5703125" style="60" customWidth="1"/>
    <col min="14327" max="14327" width="4.5703125" style="60" customWidth="1"/>
    <col min="14328" max="14329" width="9.140625" style="60" customWidth="1"/>
    <col min="14330" max="14330" width="11" style="60" customWidth="1"/>
    <col min="14331" max="14578" width="9.140625" style="60" customWidth="1"/>
    <col min="14579" max="14579" width="43.28515625" style="60" customWidth="1"/>
    <col min="14580" max="14580" width="4" style="60" customWidth="1"/>
    <col min="14581" max="14581" width="3.5703125" style="60" customWidth="1"/>
    <col min="14582" max="14582" width="34.5703125" style="60" customWidth="1"/>
    <col min="14583" max="14583" width="4.5703125" style="60" customWidth="1"/>
    <col min="14584" max="14585" width="9.140625" style="60" customWidth="1"/>
    <col min="14586" max="14586" width="11" style="60" customWidth="1"/>
    <col min="14587" max="14834" width="9.140625" style="60" customWidth="1"/>
    <col min="14835" max="14835" width="43.28515625" style="60" customWidth="1"/>
    <col min="14836" max="14836" width="4" style="60" customWidth="1"/>
    <col min="14837" max="14837" width="3.5703125" style="60" customWidth="1"/>
    <col min="14838" max="14838" width="34.5703125" style="60" customWidth="1"/>
    <col min="14839" max="14839" width="4.5703125" style="60" customWidth="1"/>
    <col min="14840" max="14841" width="9.140625" style="60" customWidth="1"/>
    <col min="14842" max="14842" width="11" style="60" customWidth="1"/>
    <col min="14843" max="15090" width="9.140625" style="60" customWidth="1"/>
    <col min="15091" max="15091" width="43.28515625" style="60" customWidth="1"/>
    <col min="15092" max="15092" width="4" style="60" customWidth="1"/>
    <col min="15093" max="15093" width="3.5703125" style="60" customWidth="1"/>
    <col min="15094" max="15094" width="34.5703125" style="60" customWidth="1"/>
    <col min="15095" max="15095" width="4.5703125" style="60" customWidth="1"/>
    <col min="15096" max="15097" width="9.140625" style="60" customWidth="1"/>
    <col min="15098" max="15098" width="11" style="60" customWidth="1"/>
    <col min="15099" max="15346" width="9.140625" style="60" customWidth="1"/>
    <col min="15347" max="15347" width="43.28515625" style="60" customWidth="1"/>
    <col min="15348" max="15348" width="4" style="60" customWidth="1"/>
    <col min="15349" max="15349" width="3.5703125" style="60" customWidth="1"/>
    <col min="15350" max="15350" width="34.5703125" style="60" customWidth="1"/>
    <col min="15351" max="15351" width="4.5703125" style="60" customWidth="1"/>
    <col min="15352" max="15353" width="9.140625" style="60" customWidth="1"/>
    <col min="15354" max="15354" width="11" style="60" customWidth="1"/>
    <col min="15355" max="15602" width="9.140625" style="60" customWidth="1"/>
    <col min="15603" max="15603" width="43.28515625" style="60" customWidth="1"/>
    <col min="15604" max="15604" width="4" style="60" customWidth="1"/>
    <col min="15605" max="15605" width="3.5703125" style="60" customWidth="1"/>
    <col min="15606" max="15606" width="34.5703125" style="60" customWidth="1"/>
    <col min="15607" max="15607" width="4.5703125" style="60" customWidth="1"/>
    <col min="15608" max="15609" width="9.140625" style="60" customWidth="1"/>
    <col min="15610" max="15610" width="11" style="60" customWidth="1"/>
    <col min="15611" max="15858" width="9.140625" style="60" customWidth="1"/>
    <col min="15859" max="15859" width="43.28515625" style="60" customWidth="1"/>
    <col min="15860" max="15860" width="4" style="60" customWidth="1"/>
    <col min="15861" max="15861" width="3.5703125" style="60" customWidth="1"/>
    <col min="15862" max="15862" width="34.5703125" style="60" customWidth="1"/>
    <col min="15863" max="15863" width="4.5703125" style="60" customWidth="1"/>
    <col min="15864" max="15865" width="9.140625" style="60" customWidth="1"/>
    <col min="15866" max="15866" width="11" style="60" customWidth="1"/>
    <col min="15867" max="16114" width="9.140625" style="60" customWidth="1"/>
    <col min="16115" max="16115" width="43.28515625" style="60" customWidth="1"/>
    <col min="16116" max="16116" width="4" style="60" customWidth="1"/>
    <col min="16117" max="16117" width="3.5703125" style="60" customWidth="1"/>
    <col min="16118" max="16118" width="34.5703125" style="60" customWidth="1"/>
    <col min="16119" max="16119" width="4.5703125" style="60" customWidth="1"/>
    <col min="16120" max="16121" width="9.140625" style="60" customWidth="1"/>
    <col min="16122" max="16122" width="11" style="60" customWidth="1"/>
    <col min="16123" max="16370" width="9.140625" style="60" customWidth="1"/>
    <col min="16371" max="16384" width="9.140625" style="60"/>
  </cols>
  <sheetData>
    <row r="1" spans="1:5" ht="15.75" customHeight="1" x14ac:dyDescent="0.25">
      <c r="A1" s="107" t="s">
        <v>62</v>
      </c>
      <c r="B1" s="107"/>
      <c r="C1" s="107"/>
      <c r="D1" s="107"/>
    </row>
    <row r="2" spans="1:5" s="59" customFormat="1" ht="26.25" customHeight="1" x14ac:dyDescent="0.25">
      <c r="A2" s="107" t="s">
        <v>63</v>
      </c>
      <c r="B2" s="107"/>
      <c r="C2" s="107"/>
      <c r="D2" s="107"/>
    </row>
    <row r="3" spans="1:5" s="59" customFormat="1" ht="26.25" customHeight="1" x14ac:dyDescent="0.2">
      <c r="A3" s="108" t="s">
        <v>116</v>
      </c>
      <c r="B3" s="108"/>
      <c r="C3" s="108"/>
      <c r="D3" s="108"/>
      <c r="E3" s="59" t="s">
        <v>64</v>
      </c>
    </row>
    <row r="4" spans="1:5" s="59" customFormat="1" ht="80.25" customHeight="1" x14ac:dyDescent="0.2">
      <c r="A4" s="109" t="s">
        <v>89</v>
      </c>
      <c r="B4" s="109"/>
      <c r="C4" s="109"/>
      <c r="D4" s="109"/>
    </row>
    <row r="5" spans="1:5" s="59" customFormat="1" ht="45.75" customHeight="1" x14ac:dyDescent="0.2">
      <c r="A5" s="110" t="s">
        <v>87</v>
      </c>
      <c r="B5" s="110"/>
      <c r="C5" s="110"/>
      <c r="D5" s="110"/>
    </row>
    <row r="6" spans="1:5" s="59" customFormat="1" ht="24" customHeight="1" x14ac:dyDescent="0.2">
      <c r="A6" s="106" t="s">
        <v>65</v>
      </c>
      <c r="B6" s="106"/>
      <c r="C6" s="106"/>
      <c r="D6" s="61">
        <v>2021</v>
      </c>
    </row>
    <row r="7" spans="1:5" s="59" customFormat="1" ht="21.75" customHeight="1" thickBot="1" x14ac:dyDescent="0.25"/>
    <row r="8" spans="1:5" ht="15.75" customHeight="1" thickBot="1" x14ac:dyDescent="0.25">
      <c r="A8" s="103" t="s">
        <v>67</v>
      </c>
      <c r="B8" s="103"/>
      <c r="C8" s="103"/>
      <c r="D8" s="62" t="s">
        <v>124</v>
      </c>
    </row>
    <row r="9" spans="1:5" ht="15.75" customHeight="1" x14ac:dyDescent="0.25">
      <c r="A9" s="104" t="s">
        <v>60</v>
      </c>
      <c r="B9" s="104"/>
      <c r="C9" s="104"/>
      <c r="D9" s="98">
        <f>1.00711866*1000</f>
        <v>1007.11866</v>
      </c>
    </row>
    <row r="10" spans="1:5" ht="15.75" customHeight="1" x14ac:dyDescent="0.25">
      <c r="A10" s="104" t="s">
        <v>69</v>
      </c>
      <c r="B10" s="104"/>
      <c r="C10" s="104"/>
      <c r="D10" s="98">
        <f>60.30815025*1000</f>
        <v>60308.150249999999</v>
      </c>
    </row>
    <row r="11" spans="1:5" ht="15.75" customHeight="1" x14ac:dyDescent="0.25">
      <c r="A11" s="104" t="s">
        <v>70</v>
      </c>
      <c r="B11" s="104"/>
      <c r="C11" s="104"/>
      <c r="D11" s="98">
        <f>0.57488228*1000</f>
        <v>574.88228000000004</v>
      </c>
    </row>
    <row r="12" spans="1:5" ht="15.75" customHeight="1" x14ac:dyDescent="0.25">
      <c r="A12" s="105" t="s">
        <v>71</v>
      </c>
      <c r="B12" s="105"/>
      <c r="C12" s="105"/>
      <c r="D12" s="98">
        <f>6.4416348*1000</f>
        <v>6441.6347999999998</v>
      </c>
    </row>
    <row r="13" spans="1:5" ht="15.75" customHeight="1" x14ac:dyDescent="0.25">
      <c r="A13" s="102" t="s">
        <v>72</v>
      </c>
      <c r="B13" s="102"/>
      <c r="C13" s="102"/>
      <c r="D13" s="99">
        <f>SUM(D9:D12)</f>
        <v>68331.785990000004</v>
      </c>
    </row>
    <row r="14" spans="1:5" ht="15.75" customHeight="1" x14ac:dyDescent="0.25">
      <c r="A14" s="102" t="s">
        <v>117</v>
      </c>
      <c r="B14" s="102"/>
      <c r="C14" s="102"/>
      <c r="D14" s="98">
        <f>ROUND(D13*0.2,5)</f>
        <v>13666.3572</v>
      </c>
    </row>
    <row r="15" spans="1:5" ht="15.75" customHeight="1" x14ac:dyDescent="0.25">
      <c r="A15" s="102" t="s">
        <v>73</v>
      </c>
      <c r="B15" s="102"/>
      <c r="C15" s="102"/>
      <c r="D15" s="99">
        <f>D13+D14</f>
        <v>81998.143190000003</v>
      </c>
    </row>
    <row r="16" spans="1:5" ht="11.25" customHeight="1" x14ac:dyDescent="0.2"/>
    <row r="22" spans="4:4" x14ac:dyDescent="0.2">
      <c r="D22" s="59">
        <f>[1]МРСК!$GS$620+[1]МРСК!$RR$620-[1]МРСК!$SC$620</f>
        <v>0</v>
      </c>
    </row>
  </sheetData>
  <mergeCells count="14">
    <mergeCell ref="A6:C6"/>
    <mergeCell ref="A1:D1"/>
    <mergeCell ref="A2:D2"/>
    <mergeCell ref="A3:D3"/>
    <mergeCell ref="A4:D4"/>
    <mergeCell ref="A5:D5"/>
    <mergeCell ref="A14:C14"/>
    <mergeCell ref="A15:C15"/>
    <mergeCell ref="A8:C8"/>
    <mergeCell ref="A9:C9"/>
    <mergeCell ref="A10:C10"/>
    <mergeCell ref="A11:C11"/>
    <mergeCell ref="A12:C12"/>
    <mergeCell ref="A13:C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"/>
  <sheetViews>
    <sheetView workbookViewId="0">
      <selection activeCell="D21" sqref="D21"/>
    </sheetView>
  </sheetViews>
  <sheetFormatPr defaultColWidth="9.140625" defaultRowHeight="15" x14ac:dyDescent="0.25"/>
  <cols>
    <col min="1" max="1" width="27.140625" style="63" customWidth="1"/>
    <col min="2" max="3" width="9.140625" style="63"/>
    <col min="4" max="4" width="17.140625" style="63" customWidth="1"/>
    <col min="5" max="5" width="23.140625" style="63" customWidth="1"/>
    <col min="6" max="6" width="16.42578125" style="63" customWidth="1"/>
    <col min="7" max="7" width="30.85546875" style="63" customWidth="1"/>
    <col min="8" max="9" width="9.140625" style="63"/>
    <col min="10" max="10" width="13.42578125" style="63" bestFit="1" customWidth="1"/>
    <col min="11" max="16384" width="9.140625" style="63"/>
  </cols>
  <sheetData>
    <row r="1" spans="1:10" ht="15.75" x14ac:dyDescent="0.25">
      <c r="A1" s="111" t="s">
        <v>80</v>
      </c>
      <c r="B1" s="111"/>
      <c r="C1" s="111"/>
      <c r="D1" s="111"/>
      <c r="E1" s="111"/>
      <c r="F1" s="111"/>
      <c r="G1" s="111"/>
    </row>
    <row r="2" spans="1:10" x14ac:dyDescent="0.25">
      <c r="A2" s="72" t="s">
        <v>108</v>
      </c>
    </row>
    <row r="3" spans="1:10" x14ac:dyDescent="0.25">
      <c r="A3" s="69"/>
    </row>
    <row r="4" spans="1:10" ht="31.5" x14ac:dyDescent="0.25">
      <c r="A4" s="64" t="s">
        <v>74</v>
      </c>
      <c r="B4" s="64" t="s">
        <v>75</v>
      </c>
      <c r="C4" s="64" t="s">
        <v>76</v>
      </c>
      <c r="D4" s="64" t="s">
        <v>82</v>
      </c>
      <c r="E4" s="64" t="s">
        <v>77</v>
      </c>
      <c r="F4" s="64" t="s">
        <v>78</v>
      </c>
      <c r="G4" s="64" t="s">
        <v>79</v>
      </c>
    </row>
    <row r="5" spans="1:10" ht="47.25" x14ac:dyDescent="0.25">
      <c r="A5" s="65" t="s">
        <v>84</v>
      </c>
      <c r="B5" s="66" t="s">
        <v>83</v>
      </c>
      <c r="C5" s="66">
        <v>406</v>
      </c>
      <c r="D5" s="67">
        <v>9530</v>
      </c>
      <c r="E5" s="66" t="s">
        <v>81</v>
      </c>
      <c r="F5" s="67">
        <f>C5*D5</f>
        <v>3869180</v>
      </c>
      <c r="G5" s="84" t="s">
        <v>118</v>
      </c>
    </row>
    <row r="6" spans="1:10" ht="47.25" x14ac:dyDescent="0.25">
      <c r="A6" s="65" t="s">
        <v>84</v>
      </c>
      <c r="B6" s="66" t="s">
        <v>83</v>
      </c>
      <c r="C6" s="66">
        <v>2301</v>
      </c>
      <c r="D6" s="67">
        <v>9923</v>
      </c>
      <c r="E6" s="88" t="s">
        <v>109</v>
      </c>
      <c r="F6" s="67">
        <f>C6*D6</f>
        <v>22832823</v>
      </c>
      <c r="G6" s="85" t="s">
        <v>118</v>
      </c>
    </row>
    <row r="7" spans="1:10" ht="47.25" x14ac:dyDescent="0.25">
      <c r="A7" s="65" t="s">
        <v>86</v>
      </c>
      <c r="B7" s="66" t="s">
        <v>83</v>
      </c>
      <c r="C7" s="66">
        <v>134</v>
      </c>
      <c r="D7" s="67">
        <v>15580</v>
      </c>
      <c r="E7" s="66" t="s">
        <v>85</v>
      </c>
      <c r="F7" s="67">
        <f>C7*D7</f>
        <v>2087720</v>
      </c>
      <c r="G7" s="86" t="s">
        <v>118</v>
      </c>
    </row>
    <row r="8" spans="1:10" ht="47.25" x14ac:dyDescent="0.25">
      <c r="A8" s="65" t="s">
        <v>86</v>
      </c>
      <c r="B8" s="66" t="s">
        <v>83</v>
      </c>
      <c r="C8" s="66">
        <v>761</v>
      </c>
      <c r="D8" s="67">
        <v>16064</v>
      </c>
      <c r="E8" s="88" t="s">
        <v>110</v>
      </c>
      <c r="F8" s="67">
        <f>C8*D8</f>
        <v>12224704</v>
      </c>
      <c r="G8" s="87" t="s">
        <v>118</v>
      </c>
      <c r="J8" s="68"/>
    </row>
  </sheetData>
  <mergeCells count="1"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AF0A6-0722-4C66-AE5E-ADC8AE277C87}">
  <sheetPr>
    <pageSetUpPr autoPageBreaks="0" fitToPage="1"/>
  </sheetPr>
  <dimension ref="A1:J62"/>
  <sheetViews>
    <sheetView showGridLines="0" view="pageBreakPreview" topLeftCell="C22" zoomScale="85" zoomScaleNormal="100" zoomScaleSheetLayoutView="85" workbookViewId="0">
      <selection activeCell="I46" sqref="I46:J49"/>
    </sheetView>
  </sheetViews>
  <sheetFormatPr defaultColWidth="9.140625" defaultRowHeight="12.75" x14ac:dyDescent="0.2"/>
  <cols>
    <col min="1" max="1" width="5" style="38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16.85546875" style="8" customWidth="1"/>
    <col min="10" max="10" width="15.7109375" style="8" bestFit="1" customWidth="1"/>
    <col min="11" max="16384" width="9.140625" style="8"/>
  </cols>
  <sheetData>
    <row r="1" spans="1:8" s="4" customFormat="1" ht="22.9" customHeight="1" x14ac:dyDescent="0.2">
      <c r="A1" s="75" t="s">
        <v>27</v>
      </c>
      <c r="B1" s="2"/>
      <c r="C1" s="138" t="s">
        <v>33</v>
      </c>
      <c r="D1" s="138"/>
      <c r="E1" s="138"/>
      <c r="F1" s="138"/>
      <c r="G1" s="138"/>
      <c r="H1" s="3"/>
    </row>
    <row r="2" spans="1:8" ht="17.25" customHeight="1" x14ac:dyDescent="0.2">
      <c r="A2" s="5" t="s">
        <v>28</v>
      </c>
      <c r="C2" s="5"/>
    </row>
    <row r="3" spans="1:8" ht="17.25" customHeight="1" x14ac:dyDescent="0.25">
      <c r="A3" s="139" t="s">
        <v>42</v>
      </c>
      <c r="B3" s="139"/>
      <c r="C3" s="139"/>
      <c r="E3" s="140"/>
      <c r="F3" s="140"/>
      <c r="G3" s="140"/>
      <c r="H3" s="140"/>
    </row>
    <row r="4" spans="1:8" s="12" customFormat="1" ht="18.600000000000001" customHeight="1" x14ac:dyDescent="0.25">
      <c r="A4" s="141" t="s">
        <v>29</v>
      </c>
      <c r="B4" s="141"/>
      <c r="C4" s="141"/>
      <c r="D4" s="9">
        <f>H49</f>
        <v>14504888.17</v>
      </c>
      <c r="E4" s="10" t="s">
        <v>32</v>
      </c>
      <c r="F4" s="11"/>
      <c r="G4" s="11"/>
      <c r="H4" s="11"/>
    </row>
    <row r="5" spans="1:8" ht="12.6" customHeight="1" x14ac:dyDescent="0.2">
      <c r="A5" s="142"/>
      <c r="B5" s="143"/>
      <c r="C5" s="143"/>
      <c r="D5" s="143"/>
      <c r="E5" s="144"/>
      <c r="F5" s="144"/>
      <c r="G5" s="144"/>
      <c r="H5" s="144"/>
    </row>
    <row r="6" spans="1:8" ht="21" customHeight="1" x14ac:dyDescent="0.2">
      <c r="A6" s="145" t="s">
        <v>30</v>
      </c>
      <c r="B6" s="145"/>
      <c r="C6" s="145"/>
      <c r="D6" s="145"/>
      <c r="E6" s="146"/>
      <c r="F6" s="146"/>
      <c r="G6" s="146"/>
      <c r="H6" s="146"/>
    </row>
    <row r="7" spans="1:8" ht="15" x14ac:dyDescent="0.2">
      <c r="A7" s="13" t="s">
        <v>43</v>
      </c>
      <c r="B7" s="14"/>
      <c r="C7" s="15"/>
      <c r="D7" s="14"/>
      <c r="E7" s="74"/>
      <c r="F7" s="74"/>
      <c r="G7" s="74"/>
      <c r="H7" s="74"/>
    </row>
    <row r="8" spans="1:8" ht="27" customHeight="1" x14ac:dyDescent="0.2">
      <c r="A8" s="147" t="s">
        <v>90</v>
      </c>
      <c r="B8" s="147"/>
      <c r="C8" s="147"/>
      <c r="D8" s="147"/>
      <c r="E8" s="147"/>
      <c r="F8" s="147"/>
      <c r="G8" s="147"/>
      <c r="H8" s="147"/>
    </row>
    <row r="9" spans="1:8" s="4" customFormat="1" ht="32.450000000000003" customHeight="1" x14ac:dyDescent="0.2">
      <c r="A9" s="148" t="s">
        <v>91</v>
      </c>
      <c r="B9" s="148"/>
      <c r="C9" s="148"/>
      <c r="D9" s="148"/>
      <c r="E9" s="148"/>
      <c r="F9" s="148"/>
      <c r="G9" s="148"/>
      <c r="H9" s="148"/>
    </row>
    <row r="10" spans="1:8" ht="17.45" customHeight="1" x14ac:dyDescent="0.2">
      <c r="A10" s="16"/>
      <c r="B10" s="17"/>
      <c r="C10" s="149" t="s">
        <v>0</v>
      </c>
      <c r="D10" s="149"/>
      <c r="E10" s="149"/>
      <c r="F10" s="18"/>
      <c r="G10" s="18"/>
      <c r="H10" s="18"/>
    </row>
    <row r="11" spans="1:8" s="4" customFormat="1" ht="21" customHeight="1" x14ac:dyDescent="0.2">
      <c r="A11" s="137" t="s">
        <v>92</v>
      </c>
      <c r="B11" s="137"/>
      <c r="C11" s="137"/>
      <c r="D11" s="137"/>
      <c r="E11" s="137"/>
      <c r="F11" s="137"/>
      <c r="G11" s="137"/>
      <c r="H11" s="137"/>
    </row>
    <row r="12" spans="1:8" x14ac:dyDescent="0.2">
      <c r="A12" s="16"/>
      <c r="B12" s="17" t="s">
        <v>93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34" t="s">
        <v>1</v>
      </c>
      <c r="B13" s="135" t="s">
        <v>5</v>
      </c>
      <c r="C13" s="135" t="s">
        <v>6</v>
      </c>
      <c r="D13" s="136" t="s">
        <v>8</v>
      </c>
      <c r="E13" s="136"/>
      <c r="F13" s="136"/>
      <c r="G13" s="136"/>
      <c r="H13" s="134" t="s">
        <v>9</v>
      </c>
    </row>
    <row r="14" spans="1:8" x14ac:dyDescent="0.2">
      <c r="A14" s="134"/>
      <c r="B14" s="135"/>
      <c r="C14" s="135"/>
      <c r="D14" s="134" t="s">
        <v>7</v>
      </c>
      <c r="E14" s="134" t="s">
        <v>2</v>
      </c>
      <c r="F14" s="134" t="s">
        <v>3</v>
      </c>
      <c r="G14" s="134" t="s">
        <v>4</v>
      </c>
      <c r="H14" s="134"/>
    </row>
    <row r="15" spans="1:8" x14ac:dyDescent="0.2">
      <c r="A15" s="134"/>
      <c r="B15" s="135"/>
      <c r="C15" s="135"/>
      <c r="D15" s="134"/>
      <c r="E15" s="134"/>
      <c r="F15" s="134"/>
      <c r="G15" s="134"/>
      <c r="H15" s="134"/>
    </row>
    <row r="16" spans="1:8" x14ac:dyDescent="0.2">
      <c r="A16" s="134"/>
      <c r="B16" s="135"/>
      <c r="C16" s="135"/>
      <c r="D16" s="134"/>
      <c r="E16" s="134"/>
      <c r="F16" s="134"/>
      <c r="G16" s="134"/>
      <c r="H16" s="134"/>
    </row>
    <row r="17" spans="1:10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10" ht="12.75" customHeight="1" x14ac:dyDescent="0.2">
      <c r="A18" s="130" t="s">
        <v>10</v>
      </c>
      <c r="B18" s="131"/>
      <c r="C18" s="131"/>
      <c r="D18" s="131"/>
      <c r="E18" s="131"/>
      <c r="F18" s="131"/>
      <c r="G18" s="131"/>
      <c r="H18" s="131"/>
    </row>
    <row r="19" spans="1:10" ht="26.45" customHeight="1" x14ac:dyDescent="0.2">
      <c r="A19" s="1">
        <v>1</v>
      </c>
      <c r="B19" s="42" t="s">
        <v>34</v>
      </c>
      <c r="C19" s="42" t="s">
        <v>94</v>
      </c>
      <c r="D19" s="82"/>
      <c r="E19" s="79">
        <f>2368.16*I19</f>
        <v>0</v>
      </c>
      <c r="F19" s="79">
        <f>9530*I19</f>
        <v>0</v>
      </c>
      <c r="G19" s="82"/>
      <c r="H19" s="79">
        <f>SUM(D19:G19)</f>
        <v>0</v>
      </c>
      <c r="I19" s="8">
        <v>0</v>
      </c>
    </row>
    <row r="20" spans="1:10" ht="24.95" customHeight="1" x14ac:dyDescent="0.2">
      <c r="A20" s="1">
        <v>2</v>
      </c>
      <c r="B20" s="42" t="s">
        <v>95</v>
      </c>
      <c r="C20" s="42" t="s">
        <v>96</v>
      </c>
      <c r="D20" s="82"/>
      <c r="E20" s="79">
        <f>2368.16*I20</f>
        <v>0</v>
      </c>
      <c r="F20" s="79">
        <f>9923*I20</f>
        <v>0</v>
      </c>
      <c r="G20" s="82"/>
      <c r="H20" s="79">
        <f t="shared" ref="H20:H24" si="0">SUM(D20:G20)</f>
        <v>0</v>
      </c>
      <c r="I20" s="8">
        <v>0</v>
      </c>
    </row>
    <row r="21" spans="1:10" ht="24.95" customHeight="1" x14ac:dyDescent="0.2">
      <c r="A21" s="1">
        <v>3</v>
      </c>
      <c r="B21" s="42" t="s">
        <v>97</v>
      </c>
      <c r="C21" s="42" t="s">
        <v>98</v>
      </c>
      <c r="D21" s="82"/>
      <c r="E21" s="79">
        <f xml:space="preserve"> 4415.3*I21</f>
        <v>229595.6</v>
      </c>
      <c r="F21" s="79">
        <f>15580*I21</f>
        <v>810160</v>
      </c>
      <c r="G21" s="82"/>
      <c r="H21" s="79">
        <f t="shared" si="0"/>
        <v>1039755.6</v>
      </c>
      <c r="I21" s="8">
        <v>52</v>
      </c>
    </row>
    <row r="22" spans="1:10" ht="24.95" customHeight="1" x14ac:dyDescent="0.2">
      <c r="A22" s="1">
        <v>4</v>
      </c>
      <c r="B22" s="42" t="s">
        <v>99</v>
      </c>
      <c r="C22" s="42" t="s">
        <v>100</v>
      </c>
      <c r="D22" s="82"/>
      <c r="E22" s="79">
        <f>4128.97*I22</f>
        <v>1213917.18</v>
      </c>
      <c r="F22" s="79">
        <f>16064*I22</f>
        <v>4722816</v>
      </c>
      <c r="G22" s="82"/>
      <c r="H22" s="79">
        <f t="shared" si="0"/>
        <v>5936733.1799999997</v>
      </c>
      <c r="I22" s="8">
        <v>294</v>
      </c>
    </row>
    <row r="23" spans="1:10" ht="14.45" customHeight="1" x14ac:dyDescent="0.2">
      <c r="A23" s="1">
        <v>5</v>
      </c>
      <c r="B23" s="42" t="s">
        <v>101</v>
      </c>
      <c r="C23" s="42" t="s">
        <v>102</v>
      </c>
      <c r="D23" s="79">
        <f xml:space="preserve"> 3983.07*I23</f>
        <v>0</v>
      </c>
      <c r="E23" s="82"/>
      <c r="F23" s="82"/>
      <c r="G23" s="82"/>
      <c r="H23" s="79">
        <f t="shared" si="0"/>
        <v>0</v>
      </c>
      <c r="I23" s="8">
        <v>0</v>
      </c>
    </row>
    <row r="24" spans="1:10" ht="16.899999999999999" customHeight="1" x14ac:dyDescent="0.2">
      <c r="A24" s="1">
        <v>6</v>
      </c>
      <c r="B24" s="42" t="s">
        <v>103</v>
      </c>
      <c r="C24" s="42" t="s">
        <v>104</v>
      </c>
      <c r="D24" s="79">
        <f>5875.36*I24</f>
        <v>2026999.2</v>
      </c>
      <c r="E24" s="82"/>
      <c r="F24" s="82"/>
      <c r="G24" s="82"/>
      <c r="H24" s="79">
        <f t="shared" si="0"/>
        <v>2026999.2</v>
      </c>
      <c r="I24" s="8">
        <v>345</v>
      </c>
      <c r="J24" s="89">
        <f>J47</f>
        <v>0</v>
      </c>
    </row>
    <row r="25" spans="1:10" ht="18" customHeight="1" x14ac:dyDescent="0.2">
      <c r="A25" s="22"/>
      <c r="B25" s="132" t="s">
        <v>11</v>
      </c>
      <c r="C25" s="133"/>
      <c r="D25" s="81">
        <f>SUM(D19:D24)</f>
        <v>2026999.2</v>
      </c>
      <c r="E25" s="81">
        <f t="shared" ref="E25:H25" si="1">SUM(E19:E24)</f>
        <v>1443512.78</v>
      </c>
      <c r="F25" s="81">
        <f t="shared" si="1"/>
        <v>5532976</v>
      </c>
      <c r="G25" s="81">
        <f t="shared" si="1"/>
        <v>0</v>
      </c>
      <c r="H25" s="81">
        <f t="shared" si="1"/>
        <v>9003487.9800000004</v>
      </c>
    </row>
    <row r="26" spans="1:10" ht="12.75" customHeight="1" x14ac:dyDescent="0.2">
      <c r="A26" s="130" t="s">
        <v>12</v>
      </c>
      <c r="B26" s="131"/>
      <c r="C26" s="131"/>
      <c r="D26" s="131"/>
      <c r="E26" s="131"/>
      <c r="F26" s="131"/>
      <c r="G26" s="131"/>
      <c r="H26" s="131"/>
    </row>
    <row r="27" spans="1:10" x14ac:dyDescent="0.2">
      <c r="A27" s="22"/>
      <c r="B27" s="132" t="s">
        <v>13</v>
      </c>
      <c r="C27" s="133"/>
      <c r="D27" s="81">
        <f>D25</f>
        <v>2026999.2</v>
      </c>
      <c r="E27" s="81">
        <f>E25</f>
        <v>1443512.78</v>
      </c>
      <c r="F27" s="81">
        <f t="shared" ref="F27:H27" si="2">F25</f>
        <v>5532976</v>
      </c>
      <c r="G27" s="81"/>
      <c r="H27" s="81">
        <f t="shared" si="2"/>
        <v>9003487.9800000004</v>
      </c>
    </row>
    <row r="28" spans="1:10" ht="12.75" customHeight="1" x14ac:dyDescent="0.2">
      <c r="A28" s="130" t="s">
        <v>14</v>
      </c>
      <c r="B28" s="131"/>
      <c r="C28" s="131"/>
      <c r="D28" s="131"/>
      <c r="E28" s="131"/>
      <c r="F28" s="131"/>
      <c r="G28" s="131"/>
      <c r="H28" s="131"/>
    </row>
    <row r="29" spans="1:10" ht="19.5" hidden="1" customHeight="1" x14ac:dyDescent="0.2">
      <c r="A29" s="23">
        <v>19</v>
      </c>
      <c r="B29" s="24" t="s">
        <v>15</v>
      </c>
      <c r="C29" s="24" t="s">
        <v>16</v>
      </c>
      <c r="D29" s="25"/>
      <c r="E29" s="26"/>
      <c r="F29" s="27"/>
      <c r="G29" s="27"/>
      <c r="H29" s="28">
        <f t="shared" ref="H29" si="3">SUM(E29:G29)</f>
        <v>0</v>
      </c>
    </row>
    <row r="30" spans="1:10" ht="12.75" customHeight="1" x14ac:dyDescent="0.2">
      <c r="A30" s="22"/>
      <c r="B30" s="132" t="s">
        <v>17</v>
      </c>
      <c r="C30" s="133"/>
      <c r="D30" s="27"/>
      <c r="E30" s="29"/>
      <c r="F30" s="30"/>
      <c r="G30" s="30"/>
      <c r="H30" s="29"/>
    </row>
    <row r="31" spans="1:10" x14ac:dyDescent="0.2">
      <c r="A31" s="22"/>
      <c r="B31" s="132" t="s">
        <v>18</v>
      </c>
      <c r="C31" s="133"/>
      <c r="D31" s="81">
        <f>D27</f>
        <v>2026999.2</v>
      </c>
      <c r="E31" s="81">
        <f t="shared" ref="E31:H31" si="4">E27+E30</f>
        <v>1443512.78</v>
      </c>
      <c r="F31" s="81">
        <f t="shared" si="4"/>
        <v>5532976</v>
      </c>
      <c r="G31" s="81"/>
      <c r="H31" s="81">
        <f t="shared" si="4"/>
        <v>9003487.9800000004</v>
      </c>
    </row>
    <row r="32" spans="1:10" ht="15" customHeight="1" x14ac:dyDescent="0.2">
      <c r="A32" s="130" t="s">
        <v>19</v>
      </c>
      <c r="B32" s="131"/>
      <c r="C32" s="131"/>
      <c r="D32" s="131"/>
      <c r="E32" s="131"/>
      <c r="F32" s="131"/>
      <c r="G32" s="131"/>
      <c r="H32" s="131"/>
    </row>
    <row r="33" spans="1:10" ht="15.95" customHeight="1" x14ac:dyDescent="0.2">
      <c r="A33" s="1">
        <v>7</v>
      </c>
      <c r="B33" s="42" t="s">
        <v>35</v>
      </c>
      <c r="C33" s="42" t="s">
        <v>105</v>
      </c>
      <c r="D33" s="82"/>
      <c r="E33" s="82"/>
      <c r="F33" s="82"/>
      <c r="G33" s="79">
        <f>409.34*I33</f>
        <v>0</v>
      </c>
      <c r="H33" s="79">
        <f t="shared" ref="H33:H34" si="5">SUM(D33:G33)</f>
        <v>0</v>
      </c>
      <c r="I33" s="8">
        <f>I19+I20</f>
        <v>0</v>
      </c>
    </row>
    <row r="34" spans="1:10" ht="15.95" customHeight="1" x14ac:dyDescent="0.2">
      <c r="A34" s="1">
        <v>8</v>
      </c>
      <c r="B34" s="42" t="s">
        <v>36</v>
      </c>
      <c r="C34" s="42" t="s">
        <v>106</v>
      </c>
      <c r="D34" s="82"/>
      <c r="E34" s="82"/>
      <c r="F34" s="82"/>
      <c r="G34" s="79">
        <f>409.34*I34</f>
        <v>141631.64000000001</v>
      </c>
      <c r="H34" s="79">
        <f t="shared" si="5"/>
        <v>141631.64000000001</v>
      </c>
      <c r="I34" s="8">
        <f>I21+I22</f>
        <v>346</v>
      </c>
    </row>
    <row r="35" spans="1:10" ht="12.75" customHeight="1" x14ac:dyDescent="0.2">
      <c r="A35" s="22"/>
      <c r="B35" s="132" t="s">
        <v>20</v>
      </c>
      <c r="C35" s="132"/>
      <c r="D35" s="81"/>
      <c r="E35" s="81"/>
      <c r="F35" s="81"/>
      <c r="G35" s="81">
        <f>SUM(G33:G34)</f>
        <v>141631.64000000001</v>
      </c>
      <c r="H35" s="81">
        <f>SUM(H33:H34)</f>
        <v>141631.64000000001</v>
      </c>
    </row>
    <row r="36" spans="1:10" x14ac:dyDescent="0.2">
      <c r="A36" s="22"/>
      <c r="B36" s="132" t="s">
        <v>21</v>
      </c>
      <c r="C36" s="132"/>
      <c r="D36" s="81">
        <f>D35+D31</f>
        <v>2026999.2</v>
      </c>
      <c r="E36" s="81">
        <f t="shared" ref="E36:H36" si="6">E35+E31</f>
        <v>1443512.78</v>
      </c>
      <c r="F36" s="81">
        <f t="shared" si="6"/>
        <v>5532976</v>
      </c>
      <c r="G36" s="81">
        <f t="shared" si="6"/>
        <v>141631.64000000001</v>
      </c>
      <c r="H36" s="81">
        <f t="shared" si="6"/>
        <v>9145119.6199999992</v>
      </c>
    </row>
    <row r="37" spans="1:10" ht="12.75" customHeight="1" x14ac:dyDescent="0.2">
      <c r="A37" s="121" t="s">
        <v>22</v>
      </c>
      <c r="B37" s="122"/>
      <c r="C37" s="122"/>
      <c r="D37" s="122"/>
      <c r="E37" s="122"/>
      <c r="F37" s="122"/>
      <c r="G37" s="122"/>
      <c r="H37" s="123"/>
    </row>
    <row r="38" spans="1:10" ht="54.75" customHeight="1" x14ac:dyDescent="0.2">
      <c r="A38" s="23">
        <v>9</v>
      </c>
      <c r="B38" s="24" t="s">
        <v>120</v>
      </c>
      <c r="C38" s="24" t="s">
        <v>121</v>
      </c>
      <c r="D38" s="27"/>
      <c r="E38" s="27"/>
      <c r="F38" s="27"/>
      <c r="G38" s="83">
        <f>(H36+H42)*10.39%</f>
        <v>1016840.37</v>
      </c>
      <c r="H38" s="83">
        <f t="shared" ref="H38" si="7">SUM(D38:G38)</f>
        <v>1016840.37</v>
      </c>
    </row>
    <row r="39" spans="1:10" ht="25.5" customHeight="1" x14ac:dyDescent="0.2">
      <c r="A39" s="22"/>
      <c r="B39" s="124" t="s">
        <v>23</v>
      </c>
      <c r="C39" s="125"/>
      <c r="D39" s="31"/>
      <c r="E39" s="32"/>
      <c r="F39" s="32"/>
      <c r="G39" s="81">
        <f>SUM(G38:G38)</f>
        <v>1016840.37</v>
      </c>
      <c r="H39" s="81">
        <f>SUM(H38:H38)</f>
        <v>1016840.37</v>
      </c>
    </row>
    <row r="40" spans="1:10" ht="56.45" customHeight="1" x14ac:dyDescent="0.2">
      <c r="A40" s="121" t="s">
        <v>44</v>
      </c>
      <c r="B40" s="122"/>
      <c r="C40" s="122"/>
      <c r="D40" s="122"/>
      <c r="E40" s="122"/>
      <c r="F40" s="122"/>
      <c r="G40" s="122"/>
      <c r="H40" s="123"/>
    </row>
    <row r="41" spans="1:10" ht="18.600000000000001" customHeight="1" x14ac:dyDescent="0.2">
      <c r="A41" s="23">
        <v>10</v>
      </c>
      <c r="B41" s="42" t="s">
        <v>38</v>
      </c>
      <c r="C41" s="42" t="s">
        <v>37</v>
      </c>
      <c r="D41" s="82"/>
      <c r="E41" s="82"/>
      <c r="F41" s="82"/>
      <c r="G41" s="79">
        <v>641601.93000000005</v>
      </c>
      <c r="H41" s="79">
        <f t="shared" ref="H41" si="8">SUM(D41:G41)</f>
        <v>641601.93000000005</v>
      </c>
      <c r="I41" s="89">
        <f>H36*0.07</f>
        <v>640158.37</v>
      </c>
    </row>
    <row r="42" spans="1:10" ht="117" customHeight="1" x14ac:dyDescent="0.2">
      <c r="A42" s="22"/>
      <c r="B42" s="124" t="s">
        <v>45</v>
      </c>
      <c r="C42" s="125"/>
      <c r="D42" s="81"/>
      <c r="E42" s="81"/>
      <c r="F42" s="81"/>
      <c r="G42" s="81">
        <f>G41</f>
        <v>641601.93000000005</v>
      </c>
      <c r="H42" s="81">
        <f>H41</f>
        <v>641601.93000000005</v>
      </c>
    </row>
    <row r="43" spans="1:10" x14ac:dyDescent="0.2">
      <c r="A43" s="22"/>
      <c r="B43" s="124" t="s">
        <v>24</v>
      </c>
      <c r="C43" s="125"/>
      <c r="D43" s="81">
        <f>D42+D39+D36</f>
        <v>2026999.2</v>
      </c>
      <c r="E43" s="81">
        <f t="shared" ref="E43:H43" si="9">E42+E39+E36</f>
        <v>1443512.78</v>
      </c>
      <c r="F43" s="81">
        <f t="shared" si="9"/>
        <v>5532976</v>
      </c>
      <c r="G43" s="81">
        <f t="shared" si="9"/>
        <v>1800073.94</v>
      </c>
      <c r="H43" s="81">
        <f t="shared" si="9"/>
        <v>10803561.92</v>
      </c>
    </row>
    <row r="44" spans="1:10" x14ac:dyDescent="0.2">
      <c r="A44" s="113" t="s">
        <v>125</v>
      </c>
      <c r="B44" s="114"/>
      <c r="C44" s="115"/>
      <c r="D44" s="93">
        <f>1.054*1.05100356465448</f>
        <v>1.1077577571458199</v>
      </c>
      <c r="E44" s="93">
        <f>D44</f>
        <v>1.1077577571458199</v>
      </c>
      <c r="F44" s="93">
        <f>D44</f>
        <v>1.1077577571458199</v>
      </c>
      <c r="G44" s="93">
        <f>D44</f>
        <v>1.1077577571458199</v>
      </c>
      <c r="H44" s="93">
        <f>D44</f>
        <v>1.1077577571458199</v>
      </c>
    </row>
    <row r="45" spans="1:10" ht="12.75" customHeight="1" x14ac:dyDescent="0.2">
      <c r="A45" s="113" t="s">
        <v>49</v>
      </c>
      <c r="B45" s="116"/>
      <c r="C45" s="117"/>
      <c r="D45" s="45">
        <f>D43*D44</f>
        <v>2245424.09</v>
      </c>
      <c r="E45" s="45">
        <f t="shared" ref="E45:H45" si="10">E43*E44</f>
        <v>1599062.48</v>
      </c>
      <c r="F45" s="45">
        <f t="shared" si="10"/>
        <v>6129197.0800000001</v>
      </c>
      <c r="G45" s="45">
        <f t="shared" si="10"/>
        <v>1994045.87</v>
      </c>
      <c r="H45" s="45">
        <f t="shared" si="10"/>
        <v>11967729.52</v>
      </c>
    </row>
    <row r="46" spans="1:10" x14ac:dyDescent="0.2">
      <c r="A46" s="1">
        <v>11</v>
      </c>
      <c r="B46" s="39"/>
      <c r="C46" s="42" t="s">
        <v>47</v>
      </c>
      <c r="D46" s="43">
        <f>D45*1%</f>
        <v>22454.240000000002</v>
      </c>
      <c r="E46" s="43">
        <f t="shared" ref="E46:G46" si="11">E45*1%</f>
        <v>15990.62</v>
      </c>
      <c r="F46" s="43">
        <f t="shared" si="11"/>
        <v>61291.97</v>
      </c>
      <c r="G46" s="43">
        <f t="shared" si="11"/>
        <v>19940.46</v>
      </c>
      <c r="H46" s="43">
        <f>SUM(D46:G46)</f>
        <v>119677.29</v>
      </c>
    </row>
    <row r="47" spans="1:10" s="4" customFormat="1" ht="16.5" customHeight="1" x14ac:dyDescent="0.2">
      <c r="A47" s="40"/>
      <c r="B47" s="126" t="s">
        <v>48</v>
      </c>
      <c r="C47" s="127"/>
      <c r="D47" s="80">
        <f>D45+D46</f>
        <v>2267878.33</v>
      </c>
      <c r="E47" s="80">
        <f t="shared" ref="E47:H47" si="12">E45+E46</f>
        <v>1615053.1</v>
      </c>
      <c r="F47" s="80">
        <f t="shared" si="12"/>
        <v>6190489.0499999998</v>
      </c>
      <c r="G47" s="80">
        <f t="shared" si="12"/>
        <v>2013986.33</v>
      </c>
      <c r="H47" s="80">
        <f t="shared" si="12"/>
        <v>12087406.810000001</v>
      </c>
      <c r="J47" s="94"/>
    </row>
    <row r="48" spans="1:10" ht="18" customHeight="1" x14ac:dyDescent="0.2">
      <c r="A48" s="23">
        <v>12</v>
      </c>
      <c r="B48" s="24"/>
      <c r="C48" s="24" t="s">
        <v>25</v>
      </c>
      <c r="D48" s="81">
        <f>D47*0.2</f>
        <v>453575.67</v>
      </c>
      <c r="E48" s="81">
        <f>E47*0.2</f>
        <v>323010.62</v>
      </c>
      <c r="F48" s="81">
        <f>F47*0.2</f>
        <v>1238097.81</v>
      </c>
      <c r="G48" s="81">
        <f>G47*0.2</f>
        <v>402797.27</v>
      </c>
      <c r="H48" s="81">
        <f>H47*0.2</f>
        <v>2417481.36</v>
      </c>
      <c r="J48" s="41"/>
    </row>
    <row r="49" spans="1:10" s="33" customFormat="1" ht="18" customHeight="1" x14ac:dyDescent="0.2">
      <c r="A49" s="73"/>
      <c r="B49" s="128" t="s">
        <v>31</v>
      </c>
      <c r="C49" s="129"/>
      <c r="D49" s="81">
        <f>D47+D48</f>
        <v>2721454</v>
      </c>
      <c r="E49" s="81">
        <f>E47+E48</f>
        <v>1938063.72</v>
      </c>
      <c r="F49" s="81">
        <f>F47+F48</f>
        <v>7428586.8600000003</v>
      </c>
      <c r="G49" s="81">
        <f>G47+G48</f>
        <v>2416783.6</v>
      </c>
      <c r="H49" s="81">
        <f>H47+H48</f>
        <v>14504888.17</v>
      </c>
      <c r="I49" s="91"/>
      <c r="J49" s="90"/>
    </row>
    <row r="50" spans="1:10" x14ac:dyDescent="0.2">
      <c r="A50" s="16"/>
      <c r="B50" s="17"/>
      <c r="C50" s="17"/>
      <c r="D50" s="34"/>
      <c r="E50" s="34"/>
      <c r="F50" s="34"/>
      <c r="G50" s="34"/>
      <c r="H50" s="34"/>
    </row>
    <row r="51" spans="1:10" s="36" customFormat="1" ht="21" customHeight="1" x14ac:dyDescent="0.2">
      <c r="A51" s="118" t="s">
        <v>40</v>
      </c>
      <c r="B51" s="118"/>
      <c r="C51" s="118"/>
      <c r="D51" s="35"/>
      <c r="E51" s="35"/>
      <c r="F51" s="35"/>
      <c r="G51" s="35"/>
      <c r="H51" s="35"/>
    </row>
    <row r="52" spans="1:10" s="36" customFormat="1" ht="14.25" customHeight="1" x14ac:dyDescent="0.2">
      <c r="A52" s="119" t="s">
        <v>46</v>
      </c>
      <c r="B52" s="119"/>
      <c r="C52" s="119"/>
      <c r="D52" s="35"/>
      <c r="E52" s="35"/>
      <c r="F52" s="35"/>
      <c r="G52" s="120" t="s">
        <v>39</v>
      </c>
      <c r="H52" s="120"/>
    </row>
    <row r="53" spans="1:10" s="37" customFormat="1" ht="12.75" customHeight="1" x14ac:dyDescent="0.2">
      <c r="A53" s="112" t="s">
        <v>26</v>
      </c>
      <c r="B53" s="112"/>
      <c r="C53" s="112"/>
      <c r="D53" s="112"/>
      <c r="E53" s="112"/>
      <c r="F53" s="112"/>
      <c r="G53" s="112"/>
      <c r="H53" s="112"/>
    </row>
    <row r="54" spans="1:10" s="36" customFormat="1" ht="21" customHeight="1" x14ac:dyDescent="0.2">
      <c r="A54" s="118" t="s">
        <v>41</v>
      </c>
      <c r="B54" s="118"/>
      <c r="C54" s="118"/>
      <c r="D54" s="35"/>
      <c r="E54" s="35"/>
      <c r="F54" s="35"/>
      <c r="G54" s="35"/>
      <c r="H54" s="35"/>
    </row>
    <row r="55" spans="1:10" s="36" customFormat="1" ht="37.5" customHeight="1" x14ac:dyDescent="0.2">
      <c r="A55" s="120" t="s">
        <v>107</v>
      </c>
      <c r="B55" s="120"/>
      <c r="C55" s="120"/>
      <c r="D55" s="35"/>
      <c r="E55" s="35"/>
      <c r="F55" s="35"/>
      <c r="G55" s="120" t="s">
        <v>119</v>
      </c>
      <c r="H55" s="120"/>
    </row>
    <row r="56" spans="1:10" s="37" customFormat="1" ht="15.6" customHeight="1" x14ac:dyDescent="0.2">
      <c r="A56" s="112" t="s">
        <v>26</v>
      </c>
      <c r="B56" s="112"/>
      <c r="C56" s="112"/>
      <c r="D56" s="112"/>
      <c r="E56" s="112"/>
      <c r="F56" s="112"/>
      <c r="G56" s="112"/>
      <c r="H56" s="112"/>
    </row>
    <row r="57" spans="1:10" x14ac:dyDescent="0.2">
      <c r="C57" s="5"/>
    </row>
    <row r="62" spans="1:10" x14ac:dyDescent="0.2">
      <c r="H62" s="78">
        <f>H49+'[2]Сводный сметный расчет'!$H$42</f>
        <v>14506864.641580001</v>
      </c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B39:C39"/>
    <mergeCell ref="A18:H18"/>
    <mergeCell ref="B25:C25"/>
    <mergeCell ref="A26:H26"/>
    <mergeCell ref="B27:C27"/>
    <mergeCell ref="A28:H28"/>
    <mergeCell ref="B30:C30"/>
    <mergeCell ref="B31:C31"/>
    <mergeCell ref="A32:H32"/>
    <mergeCell ref="B35:C35"/>
    <mergeCell ref="B36:C36"/>
    <mergeCell ref="A37:H37"/>
    <mergeCell ref="A40:H40"/>
    <mergeCell ref="B42:C42"/>
    <mergeCell ref="B43:C43"/>
    <mergeCell ref="B47:C47"/>
    <mergeCell ref="B49:C49"/>
    <mergeCell ref="A56:H56"/>
    <mergeCell ref="A44:C44"/>
    <mergeCell ref="A45:C45"/>
    <mergeCell ref="A51:C51"/>
    <mergeCell ref="A52:C52"/>
    <mergeCell ref="G52:H52"/>
    <mergeCell ref="A53:H53"/>
    <mergeCell ref="A54:C54"/>
    <mergeCell ref="A55:C55"/>
    <mergeCell ref="G55:H55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AF6D0-E93E-4A48-B428-701BAB563C43}">
  <sheetPr>
    <pageSetUpPr autoPageBreaks="0" fitToPage="1"/>
  </sheetPr>
  <dimension ref="A1:K62"/>
  <sheetViews>
    <sheetView showGridLines="0" view="pageBreakPreview" topLeftCell="A27" zoomScale="85" zoomScaleNormal="100" zoomScaleSheetLayoutView="85" workbookViewId="0">
      <selection activeCell="B38" sqref="B38:G38"/>
    </sheetView>
  </sheetViews>
  <sheetFormatPr defaultColWidth="9.140625" defaultRowHeight="12.75" x14ac:dyDescent="0.2"/>
  <cols>
    <col min="1" max="1" width="5" style="38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17.5703125" style="8" customWidth="1"/>
    <col min="10" max="10" width="12.140625" style="8" bestFit="1" customWidth="1"/>
    <col min="11" max="11" width="14.7109375" style="8" bestFit="1" customWidth="1"/>
    <col min="12" max="16384" width="9.140625" style="8"/>
  </cols>
  <sheetData>
    <row r="1" spans="1:8" s="4" customFormat="1" ht="22.9" customHeight="1" x14ac:dyDescent="0.2">
      <c r="A1" s="75" t="s">
        <v>27</v>
      </c>
      <c r="B1" s="2"/>
      <c r="C1" s="138" t="s">
        <v>33</v>
      </c>
      <c r="D1" s="138"/>
      <c r="E1" s="138"/>
      <c r="F1" s="138"/>
      <c r="G1" s="138"/>
      <c r="H1" s="3"/>
    </row>
    <row r="2" spans="1:8" ht="17.25" customHeight="1" x14ac:dyDescent="0.2">
      <c r="A2" s="5" t="s">
        <v>28</v>
      </c>
      <c r="C2" s="5"/>
    </row>
    <row r="3" spans="1:8" ht="17.25" customHeight="1" x14ac:dyDescent="0.25">
      <c r="A3" s="139" t="s">
        <v>42</v>
      </c>
      <c r="B3" s="139"/>
      <c r="C3" s="139"/>
      <c r="E3" s="140"/>
      <c r="F3" s="140"/>
      <c r="G3" s="140"/>
      <c r="H3" s="140"/>
    </row>
    <row r="4" spans="1:8" s="12" customFormat="1" ht="18.600000000000001" customHeight="1" x14ac:dyDescent="0.25">
      <c r="A4" s="141" t="s">
        <v>29</v>
      </c>
      <c r="B4" s="141"/>
      <c r="C4" s="141"/>
      <c r="D4" s="9">
        <f>H49</f>
        <v>44039444.060000002</v>
      </c>
      <c r="E4" s="10" t="s">
        <v>32</v>
      </c>
      <c r="F4" s="11"/>
      <c r="G4" s="11"/>
      <c r="H4" s="11"/>
    </row>
    <row r="5" spans="1:8" ht="12.6" customHeight="1" x14ac:dyDescent="0.2">
      <c r="A5" s="142"/>
      <c r="B5" s="143"/>
      <c r="C5" s="143"/>
      <c r="D5" s="143"/>
      <c r="E5" s="144"/>
      <c r="F5" s="144"/>
      <c r="G5" s="144"/>
      <c r="H5" s="144"/>
    </row>
    <row r="6" spans="1:8" ht="21" customHeight="1" x14ac:dyDescent="0.2">
      <c r="A6" s="145" t="s">
        <v>30</v>
      </c>
      <c r="B6" s="145"/>
      <c r="C6" s="145"/>
      <c r="D6" s="145"/>
      <c r="E6" s="146"/>
      <c r="F6" s="146"/>
      <c r="G6" s="146"/>
      <c r="H6" s="146"/>
    </row>
    <row r="7" spans="1:8" ht="15" x14ac:dyDescent="0.2">
      <c r="A7" s="13" t="s">
        <v>43</v>
      </c>
      <c r="B7" s="14"/>
      <c r="C7" s="15"/>
      <c r="D7" s="14"/>
      <c r="E7" s="74"/>
      <c r="F7" s="74"/>
      <c r="G7" s="74"/>
      <c r="H7" s="74"/>
    </row>
    <row r="8" spans="1:8" ht="27" customHeight="1" x14ac:dyDescent="0.2">
      <c r="A8" s="147" t="s">
        <v>90</v>
      </c>
      <c r="B8" s="147"/>
      <c r="C8" s="147"/>
      <c r="D8" s="147"/>
      <c r="E8" s="147"/>
      <c r="F8" s="147"/>
      <c r="G8" s="147"/>
      <c r="H8" s="147"/>
    </row>
    <row r="9" spans="1:8" s="4" customFormat="1" ht="32.450000000000003" customHeight="1" x14ac:dyDescent="0.2">
      <c r="A9" s="148" t="s">
        <v>91</v>
      </c>
      <c r="B9" s="148"/>
      <c r="C9" s="148"/>
      <c r="D9" s="148"/>
      <c r="E9" s="148"/>
      <c r="F9" s="148"/>
      <c r="G9" s="148"/>
      <c r="H9" s="148"/>
    </row>
    <row r="10" spans="1:8" ht="17.45" customHeight="1" x14ac:dyDescent="0.2">
      <c r="A10" s="16"/>
      <c r="B10" s="17"/>
      <c r="C10" s="149" t="s">
        <v>0</v>
      </c>
      <c r="D10" s="149"/>
      <c r="E10" s="149"/>
      <c r="F10" s="18"/>
      <c r="G10" s="18"/>
      <c r="H10" s="18"/>
    </row>
    <row r="11" spans="1:8" s="4" customFormat="1" ht="21" customHeight="1" x14ac:dyDescent="0.2">
      <c r="A11" s="137" t="s">
        <v>92</v>
      </c>
      <c r="B11" s="137"/>
      <c r="C11" s="137"/>
      <c r="D11" s="137"/>
      <c r="E11" s="137"/>
      <c r="F11" s="137"/>
      <c r="G11" s="137"/>
      <c r="H11" s="137"/>
    </row>
    <row r="12" spans="1:8" x14ac:dyDescent="0.2">
      <c r="A12" s="16"/>
      <c r="B12" s="17" t="s">
        <v>93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34" t="s">
        <v>1</v>
      </c>
      <c r="B13" s="135" t="s">
        <v>5</v>
      </c>
      <c r="C13" s="135" t="s">
        <v>6</v>
      </c>
      <c r="D13" s="136" t="s">
        <v>8</v>
      </c>
      <c r="E13" s="136"/>
      <c r="F13" s="136"/>
      <c r="G13" s="136"/>
      <c r="H13" s="134" t="s">
        <v>9</v>
      </c>
    </row>
    <row r="14" spans="1:8" x14ac:dyDescent="0.2">
      <c r="A14" s="134"/>
      <c r="B14" s="135"/>
      <c r="C14" s="135"/>
      <c r="D14" s="134" t="s">
        <v>7</v>
      </c>
      <c r="E14" s="134" t="s">
        <v>2</v>
      </c>
      <c r="F14" s="134" t="s">
        <v>3</v>
      </c>
      <c r="G14" s="134" t="s">
        <v>4</v>
      </c>
      <c r="H14" s="134"/>
    </row>
    <row r="15" spans="1:8" x14ac:dyDescent="0.2">
      <c r="A15" s="134"/>
      <c r="B15" s="135"/>
      <c r="C15" s="135"/>
      <c r="D15" s="134"/>
      <c r="E15" s="134"/>
      <c r="F15" s="134"/>
      <c r="G15" s="134"/>
      <c r="H15" s="134"/>
    </row>
    <row r="16" spans="1:8" x14ac:dyDescent="0.2">
      <c r="A16" s="134"/>
      <c r="B16" s="135"/>
      <c r="C16" s="135"/>
      <c r="D16" s="134"/>
      <c r="E16" s="134"/>
      <c r="F16" s="134"/>
      <c r="G16" s="134"/>
      <c r="H16" s="134"/>
    </row>
    <row r="17" spans="1:11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11" ht="12.75" customHeight="1" x14ac:dyDescent="0.2">
      <c r="A18" s="130" t="s">
        <v>10</v>
      </c>
      <c r="B18" s="131"/>
      <c r="C18" s="131"/>
      <c r="D18" s="131"/>
      <c r="E18" s="131"/>
      <c r="F18" s="131"/>
      <c r="G18" s="131"/>
      <c r="H18" s="131"/>
    </row>
    <row r="19" spans="1:11" ht="26.45" customHeight="1" x14ac:dyDescent="0.2">
      <c r="A19" s="1">
        <v>1</v>
      </c>
      <c r="B19" s="42" t="s">
        <v>34</v>
      </c>
      <c r="C19" s="42" t="s">
        <v>94</v>
      </c>
      <c r="D19" s="82"/>
      <c r="E19" s="79">
        <f>2368.16*I19</f>
        <v>371801.12</v>
      </c>
      <c r="F19" s="79">
        <f>9530*I19</f>
        <v>1496210</v>
      </c>
      <c r="G19" s="82"/>
      <c r="H19" s="79">
        <f>SUM(D19:G19)</f>
        <v>1868011.12</v>
      </c>
      <c r="I19" s="8">
        <v>157</v>
      </c>
    </row>
    <row r="20" spans="1:11" ht="24.95" customHeight="1" x14ac:dyDescent="0.2">
      <c r="A20" s="1">
        <v>2</v>
      </c>
      <c r="B20" s="42" t="s">
        <v>95</v>
      </c>
      <c r="C20" s="42" t="s">
        <v>96</v>
      </c>
      <c r="D20" s="82"/>
      <c r="E20" s="79">
        <f>2368.16*I20</f>
        <v>2484199.84</v>
      </c>
      <c r="F20" s="79">
        <f>9923*I20</f>
        <v>10409227</v>
      </c>
      <c r="G20" s="82"/>
      <c r="H20" s="79">
        <f t="shared" ref="H20:H24" si="0">SUM(D20:G20)</f>
        <v>12893426.84</v>
      </c>
      <c r="I20" s="8">
        <v>1049</v>
      </c>
    </row>
    <row r="21" spans="1:11" ht="24.95" customHeight="1" x14ac:dyDescent="0.2">
      <c r="A21" s="1">
        <v>3</v>
      </c>
      <c r="B21" s="42" t="s">
        <v>97</v>
      </c>
      <c r="C21" s="42" t="s">
        <v>98</v>
      </c>
      <c r="D21" s="82"/>
      <c r="E21" s="79">
        <f xml:space="preserve"> 4415.3*I21</f>
        <v>273748.59999999998</v>
      </c>
      <c r="F21" s="79">
        <f>15580*I21</f>
        <v>965960</v>
      </c>
      <c r="G21" s="82"/>
      <c r="H21" s="79">
        <f t="shared" si="0"/>
        <v>1239708.6000000001</v>
      </c>
      <c r="I21" s="8">
        <v>62</v>
      </c>
    </row>
    <row r="22" spans="1:11" ht="24.95" customHeight="1" x14ac:dyDescent="0.2">
      <c r="A22" s="1">
        <v>4</v>
      </c>
      <c r="B22" s="42" t="s">
        <v>99</v>
      </c>
      <c r="C22" s="42" t="s">
        <v>100</v>
      </c>
      <c r="D22" s="82"/>
      <c r="E22" s="79">
        <f>4128.97*I22</f>
        <v>995081.77</v>
      </c>
      <c r="F22" s="79">
        <f>16064*I22</f>
        <v>3871424</v>
      </c>
      <c r="G22" s="82"/>
      <c r="H22" s="79">
        <f t="shared" si="0"/>
        <v>4866505.7699999996</v>
      </c>
      <c r="I22" s="8">
        <v>241</v>
      </c>
    </row>
    <row r="23" spans="1:11" ht="14.45" customHeight="1" x14ac:dyDescent="0.2">
      <c r="A23" s="1">
        <v>5</v>
      </c>
      <c r="B23" s="42" t="s">
        <v>101</v>
      </c>
      <c r="C23" s="42" t="s">
        <v>102</v>
      </c>
      <c r="D23" s="79">
        <f xml:space="preserve"> 3983.07*I23</f>
        <v>4787650.1399999997</v>
      </c>
      <c r="E23" s="82"/>
      <c r="F23" s="82"/>
      <c r="G23" s="82"/>
      <c r="H23" s="79">
        <f t="shared" si="0"/>
        <v>4787650.1399999997</v>
      </c>
      <c r="I23" s="8">
        <v>1202</v>
      </c>
    </row>
    <row r="24" spans="1:11" ht="16.899999999999999" customHeight="1" x14ac:dyDescent="0.2">
      <c r="A24" s="1">
        <v>6</v>
      </c>
      <c r="B24" s="42" t="s">
        <v>103</v>
      </c>
      <c r="C24" s="42" t="s">
        <v>104</v>
      </c>
      <c r="D24" s="79">
        <f>5875.36*I24</f>
        <v>0</v>
      </c>
      <c r="E24" s="82"/>
      <c r="F24" s="82"/>
      <c r="G24" s="82"/>
      <c r="H24" s="79">
        <f t="shared" si="0"/>
        <v>0</v>
      </c>
      <c r="K24" s="89">
        <f>H47-I47</f>
        <v>36699536.719999999</v>
      </c>
    </row>
    <row r="25" spans="1:11" ht="18" customHeight="1" x14ac:dyDescent="0.2">
      <c r="A25" s="22"/>
      <c r="B25" s="132" t="s">
        <v>11</v>
      </c>
      <c r="C25" s="133"/>
      <c r="D25" s="81">
        <f>SUM(D19:D24)</f>
        <v>4787650.1399999997</v>
      </c>
      <c r="E25" s="81">
        <f t="shared" ref="E25:H25" si="1">SUM(E19:E24)</f>
        <v>4124831.33</v>
      </c>
      <c r="F25" s="81">
        <f t="shared" si="1"/>
        <v>16742821</v>
      </c>
      <c r="G25" s="81">
        <f t="shared" si="1"/>
        <v>0</v>
      </c>
      <c r="H25" s="81">
        <f t="shared" si="1"/>
        <v>25655302.469999999</v>
      </c>
    </row>
    <row r="26" spans="1:11" ht="12.75" customHeight="1" x14ac:dyDescent="0.2">
      <c r="A26" s="130" t="s">
        <v>12</v>
      </c>
      <c r="B26" s="131"/>
      <c r="C26" s="131"/>
      <c r="D26" s="131"/>
      <c r="E26" s="131"/>
      <c r="F26" s="131"/>
      <c r="G26" s="131"/>
      <c r="H26" s="131"/>
    </row>
    <row r="27" spans="1:11" x14ac:dyDescent="0.2">
      <c r="A27" s="22"/>
      <c r="B27" s="132" t="s">
        <v>13</v>
      </c>
      <c r="C27" s="133"/>
      <c r="D27" s="81">
        <f>D25</f>
        <v>4787650.1399999997</v>
      </c>
      <c r="E27" s="81">
        <f>E25</f>
        <v>4124831.33</v>
      </c>
      <c r="F27" s="81">
        <f t="shared" ref="F27:H27" si="2">F25</f>
        <v>16742821</v>
      </c>
      <c r="G27" s="81"/>
      <c r="H27" s="81">
        <f t="shared" si="2"/>
        <v>25655302.469999999</v>
      </c>
    </row>
    <row r="28" spans="1:11" ht="12.75" customHeight="1" x14ac:dyDescent="0.2">
      <c r="A28" s="130" t="s">
        <v>14</v>
      </c>
      <c r="B28" s="131"/>
      <c r="C28" s="131"/>
      <c r="D28" s="131"/>
      <c r="E28" s="131"/>
      <c r="F28" s="131"/>
      <c r="G28" s="131"/>
      <c r="H28" s="131"/>
    </row>
    <row r="29" spans="1:11" ht="19.5" hidden="1" customHeight="1" x14ac:dyDescent="0.2">
      <c r="A29" s="23">
        <v>19</v>
      </c>
      <c r="B29" s="24" t="s">
        <v>15</v>
      </c>
      <c r="C29" s="24" t="s">
        <v>16</v>
      </c>
      <c r="D29" s="25"/>
      <c r="E29" s="26"/>
      <c r="F29" s="27"/>
      <c r="G29" s="27"/>
      <c r="H29" s="28">
        <f t="shared" ref="H29" si="3">SUM(E29:G29)</f>
        <v>0</v>
      </c>
    </row>
    <row r="30" spans="1:11" ht="12.75" customHeight="1" x14ac:dyDescent="0.2">
      <c r="A30" s="22"/>
      <c r="B30" s="132" t="s">
        <v>17</v>
      </c>
      <c r="C30" s="133"/>
      <c r="D30" s="27"/>
      <c r="E30" s="29"/>
      <c r="F30" s="30"/>
      <c r="G30" s="30"/>
      <c r="H30" s="29"/>
    </row>
    <row r="31" spans="1:11" x14ac:dyDescent="0.2">
      <c r="A31" s="22"/>
      <c r="B31" s="132" t="s">
        <v>18</v>
      </c>
      <c r="C31" s="133"/>
      <c r="D31" s="81">
        <f>D27</f>
        <v>4787650.1399999997</v>
      </c>
      <c r="E31" s="81">
        <f t="shared" ref="E31:H31" si="4">E27+E30</f>
        <v>4124831.33</v>
      </c>
      <c r="F31" s="81">
        <f t="shared" si="4"/>
        <v>16742821</v>
      </c>
      <c r="G31" s="81"/>
      <c r="H31" s="81">
        <f t="shared" si="4"/>
        <v>25655302.469999999</v>
      </c>
    </row>
    <row r="32" spans="1:11" ht="15" customHeight="1" x14ac:dyDescent="0.2">
      <c r="A32" s="130" t="s">
        <v>19</v>
      </c>
      <c r="B32" s="131"/>
      <c r="C32" s="131"/>
      <c r="D32" s="131"/>
      <c r="E32" s="131"/>
      <c r="F32" s="131"/>
      <c r="G32" s="131"/>
      <c r="H32" s="131"/>
    </row>
    <row r="33" spans="1:11" ht="15.95" customHeight="1" x14ac:dyDescent="0.2">
      <c r="A33" s="1">
        <v>7</v>
      </c>
      <c r="B33" s="42" t="s">
        <v>35</v>
      </c>
      <c r="C33" s="42" t="s">
        <v>105</v>
      </c>
      <c r="D33" s="82"/>
      <c r="E33" s="82"/>
      <c r="F33" s="82"/>
      <c r="G33" s="79">
        <f>409.34*I33</f>
        <v>493664.04</v>
      </c>
      <c r="H33" s="79">
        <f t="shared" ref="H33:H34" si="5">SUM(D33:G33)</f>
        <v>493664.04</v>
      </c>
      <c r="I33" s="8">
        <f>I20+I19</f>
        <v>1206</v>
      </c>
    </row>
    <row r="34" spans="1:11" ht="15.95" customHeight="1" x14ac:dyDescent="0.2">
      <c r="A34" s="1">
        <v>8</v>
      </c>
      <c r="B34" s="42" t="s">
        <v>36</v>
      </c>
      <c r="C34" s="42" t="s">
        <v>106</v>
      </c>
      <c r="D34" s="82"/>
      <c r="E34" s="82"/>
      <c r="F34" s="82"/>
      <c r="G34" s="79">
        <f>409.34*I34</f>
        <v>124030.02</v>
      </c>
      <c r="H34" s="79">
        <f t="shared" si="5"/>
        <v>124030.02</v>
      </c>
      <c r="I34" s="8">
        <f>I21+I22</f>
        <v>303</v>
      </c>
    </row>
    <row r="35" spans="1:11" ht="12.75" customHeight="1" x14ac:dyDescent="0.2">
      <c r="A35" s="22"/>
      <c r="B35" s="132" t="s">
        <v>20</v>
      </c>
      <c r="C35" s="132"/>
      <c r="D35" s="81"/>
      <c r="E35" s="81"/>
      <c r="F35" s="81"/>
      <c r="G35" s="81">
        <f>SUM(G33:G34)</f>
        <v>617694.06000000006</v>
      </c>
      <c r="H35" s="81">
        <f>SUM(H33:H34)</f>
        <v>617694.06000000006</v>
      </c>
    </row>
    <row r="36" spans="1:11" x14ac:dyDescent="0.2">
      <c r="A36" s="22"/>
      <c r="B36" s="132" t="s">
        <v>21</v>
      </c>
      <c r="C36" s="132"/>
      <c r="D36" s="81">
        <f>D35+D31</f>
        <v>4787650.1399999997</v>
      </c>
      <c r="E36" s="81">
        <f t="shared" ref="E36:H36" si="6">E35+E31</f>
        <v>4124831.33</v>
      </c>
      <c r="F36" s="81">
        <f t="shared" si="6"/>
        <v>16742821</v>
      </c>
      <c r="G36" s="81">
        <f t="shared" si="6"/>
        <v>617694.06000000006</v>
      </c>
      <c r="H36" s="81">
        <f t="shared" si="6"/>
        <v>26272996.530000001</v>
      </c>
    </row>
    <row r="37" spans="1:11" ht="12.75" customHeight="1" x14ac:dyDescent="0.2">
      <c r="A37" s="121" t="s">
        <v>22</v>
      </c>
      <c r="B37" s="122"/>
      <c r="C37" s="122"/>
      <c r="D37" s="122"/>
      <c r="E37" s="122"/>
      <c r="F37" s="122"/>
      <c r="G37" s="122"/>
      <c r="H37" s="123"/>
    </row>
    <row r="38" spans="1:11" ht="54.75" customHeight="1" x14ac:dyDescent="0.2">
      <c r="A38" s="23">
        <v>9</v>
      </c>
      <c r="B38" s="24" t="s">
        <v>122</v>
      </c>
      <c r="C38" s="24" t="s">
        <v>123</v>
      </c>
      <c r="D38" s="27"/>
      <c r="E38" s="27"/>
      <c r="F38" s="27"/>
      <c r="G38" s="83">
        <f>(H36+H42)*11.24%</f>
        <v>3159537.55</v>
      </c>
      <c r="H38" s="83">
        <f t="shared" ref="H38" si="7">SUM(D38:G38)</f>
        <v>3159537.55</v>
      </c>
    </row>
    <row r="39" spans="1:11" ht="25.5" customHeight="1" x14ac:dyDescent="0.2">
      <c r="A39" s="22"/>
      <c r="B39" s="124" t="s">
        <v>23</v>
      </c>
      <c r="C39" s="125"/>
      <c r="D39" s="31"/>
      <c r="E39" s="32"/>
      <c r="F39" s="32"/>
      <c r="G39" s="81">
        <f>SUM(G38:G38)</f>
        <v>3159537.55</v>
      </c>
      <c r="H39" s="81">
        <f>SUM(H38:H38)</f>
        <v>3159537.55</v>
      </c>
    </row>
    <row r="40" spans="1:11" ht="56.45" customHeight="1" x14ac:dyDescent="0.2">
      <c r="A40" s="121" t="s">
        <v>44</v>
      </c>
      <c r="B40" s="122"/>
      <c r="C40" s="122"/>
      <c r="D40" s="122"/>
      <c r="E40" s="122"/>
      <c r="F40" s="122"/>
      <c r="G40" s="122"/>
      <c r="H40" s="123"/>
    </row>
    <row r="41" spans="1:11" ht="18.600000000000001" customHeight="1" x14ac:dyDescent="0.2">
      <c r="A41" s="23">
        <v>10</v>
      </c>
      <c r="B41" s="42" t="s">
        <v>38</v>
      </c>
      <c r="C41" s="42" t="s">
        <v>37</v>
      </c>
      <c r="D41" s="82"/>
      <c r="E41" s="82"/>
      <c r="F41" s="82"/>
      <c r="G41" s="79">
        <v>1836768.18</v>
      </c>
      <c r="H41" s="79">
        <f t="shared" ref="H41" si="8">SUM(D41:G41)</f>
        <v>1836768.18</v>
      </c>
    </row>
    <row r="42" spans="1:11" ht="117" customHeight="1" x14ac:dyDescent="0.2">
      <c r="A42" s="22"/>
      <c r="B42" s="124" t="s">
        <v>45</v>
      </c>
      <c r="C42" s="125"/>
      <c r="D42" s="81"/>
      <c r="E42" s="81"/>
      <c r="F42" s="81"/>
      <c r="G42" s="81">
        <f>G41</f>
        <v>1836768.18</v>
      </c>
      <c r="H42" s="81">
        <f>H41</f>
        <v>1836768.18</v>
      </c>
    </row>
    <row r="43" spans="1:11" x14ac:dyDescent="0.2">
      <c r="A43" s="22"/>
      <c r="B43" s="124" t="s">
        <v>24</v>
      </c>
      <c r="C43" s="125"/>
      <c r="D43" s="81">
        <f>D42+D39+D36</f>
        <v>4787650.1399999997</v>
      </c>
      <c r="E43" s="81">
        <f t="shared" ref="E43:H43" si="9">E42+E39+E36</f>
        <v>4124831.33</v>
      </c>
      <c r="F43" s="81">
        <f t="shared" si="9"/>
        <v>16742821</v>
      </c>
      <c r="G43" s="81">
        <f t="shared" si="9"/>
        <v>5613999.79</v>
      </c>
      <c r="H43" s="81">
        <f t="shared" si="9"/>
        <v>31269302.260000002</v>
      </c>
      <c r="J43" s="77"/>
    </row>
    <row r="44" spans="1:11" x14ac:dyDescent="0.2">
      <c r="A44" s="113" t="s">
        <v>126</v>
      </c>
      <c r="B44" s="114"/>
      <c r="C44" s="115"/>
      <c r="D44" s="93">
        <f>1.054*1.05100356465448*1.04900176223018</f>
        <v>1.1620398393701199</v>
      </c>
      <c r="E44" s="93">
        <f>D44</f>
        <v>1.1620398393701199</v>
      </c>
      <c r="F44" s="93">
        <f>D44</f>
        <v>1.1620398393701199</v>
      </c>
      <c r="G44" s="93">
        <f>D44</f>
        <v>1.1620398393701199</v>
      </c>
      <c r="H44" s="93">
        <f>D44</f>
        <v>1.1620398393701199</v>
      </c>
    </row>
    <row r="45" spans="1:11" ht="12.75" customHeight="1" x14ac:dyDescent="0.2">
      <c r="A45" s="113" t="s">
        <v>111</v>
      </c>
      <c r="B45" s="116"/>
      <c r="C45" s="117"/>
      <c r="D45" s="45">
        <f>D43*D44</f>
        <v>5563440.2000000002</v>
      </c>
      <c r="E45" s="45">
        <f t="shared" ref="E45:H45" si="10">E43*E44</f>
        <v>4793218.34</v>
      </c>
      <c r="F45" s="45">
        <f t="shared" si="10"/>
        <v>19455825.030000001</v>
      </c>
      <c r="G45" s="45">
        <f t="shared" si="10"/>
        <v>6523691.4100000001</v>
      </c>
      <c r="H45" s="45">
        <f t="shared" si="10"/>
        <v>36336174.979999997</v>
      </c>
    </row>
    <row r="46" spans="1:11" x14ac:dyDescent="0.2">
      <c r="A46" s="1">
        <v>11</v>
      </c>
      <c r="B46" s="39"/>
      <c r="C46" s="42" t="s">
        <v>47</v>
      </c>
      <c r="D46" s="43">
        <f>D45*1%</f>
        <v>55634.400000000001</v>
      </c>
      <c r="E46" s="43">
        <f t="shared" ref="E46:G46" si="11">E45*1%</f>
        <v>47932.18</v>
      </c>
      <c r="F46" s="43">
        <f t="shared" si="11"/>
        <v>194558.25</v>
      </c>
      <c r="G46" s="43">
        <f t="shared" si="11"/>
        <v>65236.91</v>
      </c>
      <c r="H46" s="43">
        <f>SUM(D46:G46)</f>
        <v>363361.74</v>
      </c>
    </row>
    <row r="47" spans="1:11" s="4" customFormat="1" ht="16.5" customHeight="1" x14ac:dyDescent="0.2">
      <c r="A47" s="40"/>
      <c r="B47" s="126" t="s">
        <v>48</v>
      </c>
      <c r="C47" s="127"/>
      <c r="D47" s="80">
        <f>D45+D46</f>
        <v>5619074.5999999996</v>
      </c>
      <c r="E47" s="80">
        <f t="shared" ref="E47:H47" si="12">E45+E46</f>
        <v>4841150.5199999996</v>
      </c>
      <c r="F47" s="80">
        <f t="shared" si="12"/>
        <v>19650383.280000001</v>
      </c>
      <c r="G47" s="80">
        <f t="shared" si="12"/>
        <v>6588928.3200000003</v>
      </c>
      <c r="H47" s="80">
        <f t="shared" si="12"/>
        <v>36699536.719999999</v>
      </c>
      <c r="I47" s="92"/>
      <c r="J47" s="94"/>
    </row>
    <row r="48" spans="1:11" ht="18" customHeight="1" x14ac:dyDescent="0.2">
      <c r="A48" s="23">
        <v>12</v>
      </c>
      <c r="B48" s="24"/>
      <c r="C48" s="24" t="s">
        <v>25</v>
      </c>
      <c r="D48" s="81">
        <f>D47*0.2</f>
        <v>1123814.92</v>
      </c>
      <c r="E48" s="81">
        <f>E47*0.2</f>
        <v>968230.1</v>
      </c>
      <c r="F48" s="81">
        <f>F47*0.2</f>
        <v>3930076.66</v>
      </c>
      <c r="G48" s="81">
        <f>G47*0.2</f>
        <v>1317785.6599999999</v>
      </c>
      <c r="H48" s="81">
        <f>H47*0.2</f>
        <v>7339907.3399999999</v>
      </c>
      <c r="K48" s="41"/>
    </row>
    <row r="49" spans="1:8" s="33" customFormat="1" ht="18" customHeight="1" x14ac:dyDescent="0.2">
      <c r="A49" s="73"/>
      <c r="B49" s="128" t="s">
        <v>31</v>
      </c>
      <c r="C49" s="129"/>
      <c r="D49" s="81">
        <f>D47+D48</f>
        <v>6742889.5199999996</v>
      </c>
      <c r="E49" s="81">
        <f>E47+E48</f>
        <v>5809380.6200000001</v>
      </c>
      <c r="F49" s="81">
        <f>F47+F48</f>
        <v>23580459.940000001</v>
      </c>
      <c r="G49" s="81">
        <f>G47+G48</f>
        <v>7906713.9800000004</v>
      </c>
      <c r="H49" s="81">
        <f>H47+H48</f>
        <v>44039444.060000002</v>
      </c>
    </row>
    <row r="50" spans="1:8" x14ac:dyDescent="0.2">
      <c r="A50" s="16"/>
      <c r="B50" s="17"/>
      <c r="C50" s="17"/>
      <c r="D50" s="34"/>
      <c r="E50" s="34"/>
      <c r="F50" s="34"/>
      <c r="G50" s="34"/>
      <c r="H50" s="34"/>
    </row>
    <row r="51" spans="1:8" s="36" customFormat="1" ht="21" customHeight="1" x14ac:dyDescent="0.2">
      <c r="A51" s="118" t="s">
        <v>40</v>
      </c>
      <c r="B51" s="118"/>
      <c r="C51" s="118"/>
      <c r="D51" s="35"/>
      <c r="E51" s="35"/>
      <c r="F51" s="35"/>
      <c r="G51" s="35"/>
      <c r="H51" s="35"/>
    </row>
    <row r="52" spans="1:8" s="36" customFormat="1" ht="14.25" customHeight="1" x14ac:dyDescent="0.2">
      <c r="A52" s="119" t="s">
        <v>46</v>
      </c>
      <c r="B52" s="119"/>
      <c r="C52" s="119"/>
      <c r="D52" s="35"/>
      <c r="E52" s="35"/>
      <c r="F52" s="35"/>
      <c r="G52" s="120" t="s">
        <v>39</v>
      </c>
      <c r="H52" s="120"/>
    </row>
    <row r="53" spans="1:8" s="37" customFormat="1" ht="12.75" customHeight="1" x14ac:dyDescent="0.2">
      <c r="A53" s="112" t="s">
        <v>26</v>
      </c>
      <c r="B53" s="112"/>
      <c r="C53" s="112"/>
      <c r="D53" s="112"/>
      <c r="E53" s="112"/>
      <c r="F53" s="112"/>
      <c r="G53" s="112"/>
      <c r="H53" s="112"/>
    </row>
    <row r="54" spans="1:8" s="36" customFormat="1" ht="21" customHeight="1" x14ac:dyDescent="0.2">
      <c r="A54" s="118" t="s">
        <v>41</v>
      </c>
      <c r="B54" s="118"/>
      <c r="C54" s="118"/>
      <c r="D54" s="35"/>
      <c r="E54" s="35"/>
      <c r="F54" s="35"/>
      <c r="G54" s="35"/>
      <c r="H54" s="35"/>
    </row>
    <row r="55" spans="1:8" s="36" customFormat="1" ht="37.5" customHeight="1" x14ac:dyDescent="0.2">
      <c r="A55" s="120" t="s">
        <v>107</v>
      </c>
      <c r="B55" s="120"/>
      <c r="C55" s="120"/>
      <c r="D55" s="35"/>
      <c r="E55" s="35"/>
      <c r="F55" s="35"/>
      <c r="G55" s="120" t="s">
        <v>119</v>
      </c>
      <c r="H55" s="120"/>
    </row>
    <row r="56" spans="1:8" s="37" customFormat="1" ht="15.6" customHeight="1" x14ac:dyDescent="0.2">
      <c r="A56" s="112" t="s">
        <v>26</v>
      </c>
      <c r="B56" s="112"/>
      <c r="C56" s="112"/>
      <c r="D56" s="112"/>
      <c r="E56" s="112"/>
      <c r="F56" s="112"/>
      <c r="G56" s="112"/>
      <c r="H56" s="112"/>
    </row>
    <row r="57" spans="1:8" x14ac:dyDescent="0.2">
      <c r="C57" s="5"/>
    </row>
    <row r="62" spans="1:8" x14ac:dyDescent="0.2">
      <c r="H62" s="78">
        <f>H49+'[2]Сводный сметный расчет'!$H$42</f>
        <v>44041420.531580001</v>
      </c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B39:C39"/>
    <mergeCell ref="A18:H18"/>
    <mergeCell ref="B25:C25"/>
    <mergeCell ref="A26:H26"/>
    <mergeCell ref="B27:C27"/>
    <mergeCell ref="A28:H28"/>
    <mergeCell ref="B30:C30"/>
    <mergeCell ref="B31:C31"/>
    <mergeCell ref="A32:H32"/>
    <mergeCell ref="B35:C35"/>
    <mergeCell ref="B36:C36"/>
    <mergeCell ref="A37:H37"/>
    <mergeCell ref="A40:H40"/>
    <mergeCell ref="B42:C42"/>
    <mergeCell ref="B43:C43"/>
    <mergeCell ref="B47:C47"/>
    <mergeCell ref="B49:C49"/>
    <mergeCell ref="A56:H56"/>
    <mergeCell ref="A44:C44"/>
    <mergeCell ref="A45:C45"/>
    <mergeCell ref="A51:C51"/>
    <mergeCell ref="A52:C52"/>
    <mergeCell ref="G52:H52"/>
    <mergeCell ref="A53:H53"/>
    <mergeCell ref="A54:C54"/>
    <mergeCell ref="A55:C55"/>
    <mergeCell ref="G55:H55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82B52-8669-41DB-B006-54E53694F63D}">
  <sheetPr>
    <pageSetUpPr autoPageBreaks="0" fitToPage="1"/>
  </sheetPr>
  <dimension ref="A1:K62"/>
  <sheetViews>
    <sheetView showGridLines="0" view="pageBreakPreview" topLeftCell="A19" zoomScale="85" zoomScaleNormal="100" zoomScaleSheetLayoutView="85" workbookViewId="0">
      <selection activeCell="D44" sqref="D44:H44"/>
    </sheetView>
  </sheetViews>
  <sheetFormatPr defaultColWidth="9.140625" defaultRowHeight="12.75" x14ac:dyDescent="0.2"/>
  <cols>
    <col min="1" max="1" width="5" style="38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16.140625" style="8" customWidth="1"/>
    <col min="10" max="10" width="18.42578125" style="8" customWidth="1"/>
    <col min="11" max="16384" width="9.140625" style="8"/>
  </cols>
  <sheetData>
    <row r="1" spans="1:8" s="4" customFormat="1" ht="22.9" customHeight="1" x14ac:dyDescent="0.2">
      <c r="A1" s="75" t="s">
        <v>27</v>
      </c>
      <c r="B1" s="2"/>
      <c r="C1" s="138" t="s">
        <v>33</v>
      </c>
      <c r="D1" s="138"/>
      <c r="E1" s="138"/>
      <c r="F1" s="138"/>
      <c r="G1" s="138"/>
      <c r="H1" s="3"/>
    </row>
    <row r="2" spans="1:8" ht="17.25" customHeight="1" x14ac:dyDescent="0.2">
      <c r="A2" s="5" t="s">
        <v>28</v>
      </c>
      <c r="C2" s="5"/>
    </row>
    <row r="3" spans="1:8" ht="17.25" customHeight="1" x14ac:dyDescent="0.25">
      <c r="A3" s="139" t="s">
        <v>42</v>
      </c>
      <c r="B3" s="139"/>
      <c r="C3" s="139"/>
      <c r="E3" s="140"/>
      <c r="F3" s="140"/>
      <c r="G3" s="140"/>
      <c r="H3" s="140"/>
    </row>
    <row r="4" spans="1:8" s="12" customFormat="1" ht="18.600000000000001" customHeight="1" x14ac:dyDescent="0.25">
      <c r="A4" s="141" t="s">
        <v>29</v>
      </c>
      <c r="B4" s="141"/>
      <c r="C4" s="141"/>
      <c r="D4" s="9">
        <f>H49</f>
        <v>42806566.939999998</v>
      </c>
      <c r="E4" s="10" t="s">
        <v>32</v>
      </c>
      <c r="F4" s="11"/>
      <c r="G4" s="11"/>
      <c r="H4" s="11"/>
    </row>
    <row r="5" spans="1:8" ht="12.6" customHeight="1" x14ac:dyDescent="0.2">
      <c r="A5" s="142"/>
      <c r="B5" s="143"/>
      <c r="C5" s="143"/>
      <c r="D5" s="143"/>
      <c r="E5" s="144"/>
      <c r="F5" s="144"/>
      <c r="G5" s="144"/>
      <c r="H5" s="144"/>
    </row>
    <row r="6" spans="1:8" ht="21" customHeight="1" x14ac:dyDescent="0.2">
      <c r="A6" s="145" t="s">
        <v>30</v>
      </c>
      <c r="B6" s="145"/>
      <c r="C6" s="145"/>
      <c r="D6" s="145"/>
      <c r="E6" s="146"/>
      <c r="F6" s="146"/>
      <c r="G6" s="146"/>
      <c r="H6" s="146"/>
    </row>
    <row r="7" spans="1:8" ht="15" x14ac:dyDescent="0.2">
      <c r="A7" s="13" t="s">
        <v>43</v>
      </c>
      <c r="B7" s="14"/>
      <c r="C7" s="15"/>
      <c r="D7" s="14"/>
      <c r="E7" s="74"/>
      <c r="F7" s="74"/>
      <c r="G7" s="74"/>
      <c r="H7" s="74"/>
    </row>
    <row r="8" spans="1:8" ht="27" customHeight="1" x14ac:dyDescent="0.2">
      <c r="A8" s="147" t="s">
        <v>90</v>
      </c>
      <c r="B8" s="147"/>
      <c r="C8" s="147"/>
      <c r="D8" s="147"/>
      <c r="E8" s="147"/>
      <c r="F8" s="147"/>
      <c r="G8" s="147"/>
      <c r="H8" s="147"/>
    </row>
    <row r="9" spans="1:8" s="4" customFormat="1" ht="32.450000000000003" customHeight="1" x14ac:dyDescent="0.2">
      <c r="A9" s="148" t="s">
        <v>91</v>
      </c>
      <c r="B9" s="148"/>
      <c r="C9" s="148"/>
      <c r="D9" s="148"/>
      <c r="E9" s="148"/>
      <c r="F9" s="148"/>
      <c r="G9" s="148"/>
      <c r="H9" s="148"/>
    </row>
    <row r="10" spans="1:8" ht="17.45" customHeight="1" x14ac:dyDescent="0.2">
      <c r="A10" s="16"/>
      <c r="B10" s="17"/>
      <c r="C10" s="149" t="s">
        <v>0</v>
      </c>
      <c r="D10" s="149"/>
      <c r="E10" s="149"/>
      <c r="F10" s="18"/>
      <c r="G10" s="18"/>
      <c r="H10" s="18"/>
    </row>
    <row r="11" spans="1:8" s="4" customFormat="1" ht="21" customHeight="1" x14ac:dyDescent="0.2">
      <c r="A11" s="137" t="s">
        <v>92</v>
      </c>
      <c r="B11" s="137"/>
      <c r="C11" s="137"/>
      <c r="D11" s="137"/>
      <c r="E11" s="137"/>
      <c r="F11" s="137"/>
      <c r="G11" s="137"/>
      <c r="H11" s="137"/>
    </row>
    <row r="12" spans="1:8" x14ac:dyDescent="0.2">
      <c r="A12" s="16"/>
      <c r="B12" s="17" t="s">
        <v>93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34" t="s">
        <v>1</v>
      </c>
      <c r="B13" s="135" t="s">
        <v>5</v>
      </c>
      <c r="C13" s="135" t="s">
        <v>6</v>
      </c>
      <c r="D13" s="136" t="s">
        <v>8</v>
      </c>
      <c r="E13" s="136"/>
      <c r="F13" s="136"/>
      <c r="G13" s="136"/>
      <c r="H13" s="134" t="s">
        <v>9</v>
      </c>
    </row>
    <row r="14" spans="1:8" x14ac:dyDescent="0.2">
      <c r="A14" s="134"/>
      <c r="B14" s="135"/>
      <c r="C14" s="135"/>
      <c r="D14" s="134" t="s">
        <v>7</v>
      </c>
      <c r="E14" s="134" t="s">
        <v>2</v>
      </c>
      <c r="F14" s="134" t="s">
        <v>3</v>
      </c>
      <c r="G14" s="134" t="s">
        <v>4</v>
      </c>
      <c r="H14" s="134"/>
    </row>
    <row r="15" spans="1:8" x14ac:dyDescent="0.2">
      <c r="A15" s="134"/>
      <c r="B15" s="135"/>
      <c r="C15" s="135"/>
      <c r="D15" s="134"/>
      <c r="E15" s="134"/>
      <c r="F15" s="134"/>
      <c r="G15" s="134"/>
      <c r="H15" s="134"/>
    </row>
    <row r="16" spans="1:8" x14ac:dyDescent="0.2">
      <c r="A16" s="134"/>
      <c r="B16" s="135"/>
      <c r="C16" s="135"/>
      <c r="D16" s="134"/>
      <c r="E16" s="134"/>
      <c r="F16" s="134"/>
      <c r="G16" s="134"/>
      <c r="H16" s="134"/>
    </row>
    <row r="17" spans="1:10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10" ht="12.75" customHeight="1" x14ac:dyDescent="0.2">
      <c r="A18" s="130" t="s">
        <v>10</v>
      </c>
      <c r="B18" s="131"/>
      <c r="C18" s="131"/>
      <c r="D18" s="131"/>
      <c r="E18" s="131"/>
      <c r="F18" s="131"/>
      <c r="G18" s="131"/>
      <c r="H18" s="131"/>
    </row>
    <row r="19" spans="1:10" ht="26.45" customHeight="1" x14ac:dyDescent="0.2">
      <c r="A19" s="1">
        <v>1</v>
      </c>
      <c r="B19" s="42" t="s">
        <v>34</v>
      </c>
      <c r="C19" s="42" t="s">
        <v>94</v>
      </c>
      <c r="D19" s="82"/>
      <c r="E19" s="79">
        <f>2368.16*I19</f>
        <v>281811.03999999998</v>
      </c>
      <c r="F19" s="79">
        <f>9530*I19</f>
        <v>1134070</v>
      </c>
      <c r="G19" s="82"/>
      <c r="H19" s="79">
        <f>SUM(D19:G19)</f>
        <v>1415881.04</v>
      </c>
      <c r="I19" s="8">
        <v>119</v>
      </c>
    </row>
    <row r="20" spans="1:10" ht="24.95" customHeight="1" x14ac:dyDescent="0.2">
      <c r="A20" s="1">
        <v>2</v>
      </c>
      <c r="B20" s="42" t="s">
        <v>95</v>
      </c>
      <c r="C20" s="42" t="s">
        <v>96</v>
      </c>
      <c r="D20" s="82"/>
      <c r="E20" s="79">
        <f>2368.16*I20</f>
        <v>2185811.6800000002</v>
      </c>
      <c r="F20" s="79">
        <f>9923*I20</f>
        <v>9158929</v>
      </c>
      <c r="G20" s="82"/>
      <c r="H20" s="79">
        <f t="shared" ref="H20:H24" si="0">SUM(D20:G20)</f>
        <v>11344740.68</v>
      </c>
      <c r="I20" s="8">
        <v>923</v>
      </c>
    </row>
    <row r="21" spans="1:10" ht="24.95" customHeight="1" x14ac:dyDescent="0.2">
      <c r="A21" s="1">
        <v>3</v>
      </c>
      <c r="B21" s="42" t="s">
        <v>97</v>
      </c>
      <c r="C21" s="42" t="s">
        <v>98</v>
      </c>
      <c r="D21" s="82"/>
      <c r="E21" s="79">
        <f xml:space="preserve"> 4415.3*I21</f>
        <v>181027.3</v>
      </c>
      <c r="F21" s="79">
        <f>15580*I21</f>
        <v>638780</v>
      </c>
      <c r="G21" s="82"/>
      <c r="H21" s="79">
        <f t="shared" si="0"/>
        <v>819807.3</v>
      </c>
      <c r="I21" s="8">
        <v>41</v>
      </c>
    </row>
    <row r="22" spans="1:10" ht="24.95" customHeight="1" x14ac:dyDescent="0.2">
      <c r="A22" s="1">
        <v>4</v>
      </c>
      <c r="B22" s="42" t="s">
        <v>99</v>
      </c>
      <c r="C22" s="42" t="s">
        <v>100</v>
      </c>
      <c r="D22" s="82"/>
      <c r="E22" s="79">
        <f>4128.97*I22</f>
        <v>1218046.1499999999</v>
      </c>
      <c r="F22" s="79">
        <f>16064*I22</f>
        <v>4738880</v>
      </c>
      <c r="G22" s="82"/>
      <c r="H22" s="79">
        <f t="shared" si="0"/>
        <v>5956926.1500000004</v>
      </c>
      <c r="I22" s="8">
        <v>295</v>
      </c>
      <c r="J22" s="89"/>
    </row>
    <row r="23" spans="1:10" ht="14.45" customHeight="1" x14ac:dyDescent="0.2">
      <c r="A23" s="1">
        <v>5</v>
      </c>
      <c r="B23" s="42" t="s">
        <v>101</v>
      </c>
      <c r="C23" s="42" t="s">
        <v>102</v>
      </c>
      <c r="D23" s="79">
        <f xml:space="preserve"> 3983.07*I23</f>
        <v>4150358.94</v>
      </c>
      <c r="E23" s="82"/>
      <c r="F23" s="82"/>
      <c r="G23" s="82"/>
      <c r="H23" s="79">
        <f t="shared" si="0"/>
        <v>4150358.94</v>
      </c>
      <c r="I23" s="8">
        <v>1042</v>
      </c>
      <c r="J23" s="95"/>
    </row>
    <row r="24" spans="1:10" ht="16.899999999999999" customHeight="1" x14ac:dyDescent="0.2">
      <c r="A24" s="1">
        <v>6</v>
      </c>
      <c r="B24" s="42" t="s">
        <v>103</v>
      </c>
      <c r="C24" s="42" t="s">
        <v>104</v>
      </c>
      <c r="D24" s="79">
        <f>5875.36*I24</f>
        <v>0</v>
      </c>
      <c r="E24" s="82"/>
      <c r="F24" s="82"/>
      <c r="G24" s="82"/>
      <c r="H24" s="79">
        <f t="shared" si="0"/>
        <v>0</v>
      </c>
    </row>
    <row r="25" spans="1:10" ht="18" customHeight="1" x14ac:dyDescent="0.2">
      <c r="A25" s="22"/>
      <c r="B25" s="132" t="s">
        <v>11</v>
      </c>
      <c r="C25" s="133"/>
      <c r="D25" s="81">
        <f>SUM(D19:D24)</f>
        <v>4150358.94</v>
      </c>
      <c r="E25" s="81">
        <f t="shared" ref="E25:H25" si="1">SUM(E19:E24)</f>
        <v>3866696.17</v>
      </c>
      <c r="F25" s="81">
        <f t="shared" si="1"/>
        <v>15670659</v>
      </c>
      <c r="G25" s="81">
        <f t="shared" si="1"/>
        <v>0</v>
      </c>
      <c r="H25" s="81">
        <f t="shared" si="1"/>
        <v>23687714.109999999</v>
      </c>
    </row>
    <row r="26" spans="1:10" ht="12.75" customHeight="1" x14ac:dyDescent="0.2">
      <c r="A26" s="130" t="s">
        <v>12</v>
      </c>
      <c r="B26" s="131"/>
      <c r="C26" s="131"/>
      <c r="D26" s="131"/>
      <c r="E26" s="131"/>
      <c r="F26" s="131"/>
      <c r="G26" s="131"/>
      <c r="H26" s="131"/>
    </row>
    <row r="27" spans="1:10" x14ac:dyDescent="0.2">
      <c r="A27" s="22"/>
      <c r="B27" s="132" t="s">
        <v>13</v>
      </c>
      <c r="C27" s="133"/>
      <c r="D27" s="81">
        <f>D25</f>
        <v>4150358.94</v>
      </c>
      <c r="E27" s="81">
        <f>E25</f>
        <v>3866696.17</v>
      </c>
      <c r="F27" s="81">
        <f t="shared" ref="F27:H27" si="2">F25</f>
        <v>15670659</v>
      </c>
      <c r="G27" s="81"/>
      <c r="H27" s="81">
        <f t="shared" si="2"/>
        <v>23687714.109999999</v>
      </c>
    </row>
    <row r="28" spans="1:10" ht="12.75" customHeight="1" x14ac:dyDescent="0.2">
      <c r="A28" s="130" t="s">
        <v>14</v>
      </c>
      <c r="B28" s="131"/>
      <c r="C28" s="131"/>
      <c r="D28" s="131"/>
      <c r="E28" s="131"/>
      <c r="F28" s="131"/>
      <c r="G28" s="131"/>
      <c r="H28" s="131"/>
    </row>
    <row r="29" spans="1:10" ht="19.5" hidden="1" customHeight="1" x14ac:dyDescent="0.2">
      <c r="A29" s="23">
        <v>19</v>
      </c>
      <c r="B29" s="24" t="s">
        <v>15</v>
      </c>
      <c r="C29" s="24" t="s">
        <v>16</v>
      </c>
      <c r="D29" s="25"/>
      <c r="E29" s="26"/>
      <c r="F29" s="27"/>
      <c r="G29" s="27"/>
      <c r="H29" s="28">
        <f t="shared" ref="H29" si="3">SUM(E29:G29)</f>
        <v>0</v>
      </c>
    </row>
    <row r="30" spans="1:10" ht="12.75" customHeight="1" x14ac:dyDescent="0.2">
      <c r="A30" s="22"/>
      <c r="B30" s="132" t="s">
        <v>17</v>
      </c>
      <c r="C30" s="133"/>
      <c r="D30" s="27"/>
      <c r="E30" s="29"/>
      <c r="F30" s="30"/>
      <c r="G30" s="30"/>
      <c r="H30" s="29"/>
    </row>
    <row r="31" spans="1:10" x14ac:dyDescent="0.2">
      <c r="A31" s="22"/>
      <c r="B31" s="132" t="s">
        <v>18</v>
      </c>
      <c r="C31" s="133"/>
      <c r="D31" s="81">
        <f>D27</f>
        <v>4150358.94</v>
      </c>
      <c r="E31" s="81">
        <f t="shared" ref="E31:H31" si="4">E27+E30</f>
        <v>3866696.17</v>
      </c>
      <c r="F31" s="81">
        <f t="shared" si="4"/>
        <v>15670659</v>
      </c>
      <c r="G31" s="81"/>
      <c r="H31" s="81">
        <f t="shared" si="4"/>
        <v>23687714.109999999</v>
      </c>
    </row>
    <row r="32" spans="1:10" ht="15" customHeight="1" x14ac:dyDescent="0.2">
      <c r="A32" s="130" t="s">
        <v>19</v>
      </c>
      <c r="B32" s="131"/>
      <c r="C32" s="131"/>
      <c r="D32" s="131"/>
      <c r="E32" s="131"/>
      <c r="F32" s="131"/>
      <c r="G32" s="131"/>
      <c r="H32" s="131"/>
    </row>
    <row r="33" spans="1:11" ht="15.95" customHeight="1" x14ac:dyDescent="0.2">
      <c r="A33" s="1">
        <v>7</v>
      </c>
      <c r="B33" s="42" t="s">
        <v>35</v>
      </c>
      <c r="C33" s="42" t="s">
        <v>105</v>
      </c>
      <c r="D33" s="82"/>
      <c r="E33" s="82"/>
      <c r="F33" s="82"/>
      <c r="G33" s="79">
        <f>409.34*I33</f>
        <v>426532.28</v>
      </c>
      <c r="H33" s="79">
        <f t="shared" ref="H33:H34" si="5">SUM(D33:G33)</f>
        <v>426532.28</v>
      </c>
      <c r="I33" s="8">
        <f>I19+I20</f>
        <v>1042</v>
      </c>
    </row>
    <row r="34" spans="1:11" ht="15.95" customHeight="1" x14ac:dyDescent="0.2">
      <c r="A34" s="1">
        <v>8</v>
      </c>
      <c r="B34" s="42" t="s">
        <v>36</v>
      </c>
      <c r="C34" s="42" t="s">
        <v>106</v>
      </c>
      <c r="D34" s="82"/>
      <c r="E34" s="82"/>
      <c r="F34" s="82"/>
      <c r="G34" s="79">
        <f>409.34*I34</f>
        <v>137538.23999999999</v>
      </c>
      <c r="H34" s="79">
        <f t="shared" si="5"/>
        <v>137538.23999999999</v>
      </c>
      <c r="I34" s="8">
        <f>I21+I22</f>
        <v>336</v>
      </c>
    </row>
    <row r="35" spans="1:11" ht="12.75" customHeight="1" x14ac:dyDescent="0.2">
      <c r="A35" s="22"/>
      <c r="B35" s="132" t="s">
        <v>20</v>
      </c>
      <c r="C35" s="132"/>
      <c r="D35" s="81"/>
      <c r="E35" s="81"/>
      <c r="F35" s="81"/>
      <c r="G35" s="81">
        <f>SUM(G33:G34)</f>
        <v>564070.52</v>
      </c>
      <c r="H35" s="81">
        <f>SUM(H33:H34)</f>
        <v>564070.52</v>
      </c>
    </row>
    <row r="36" spans="1:11" x14ac:dyDescent="0.2">
      <c r="A36" s="22"/>
      <c r="B36" s="132" t="s">
        <v>21</v>
      </c>
      <c r="C36" s="132"/>
      <c r="D36" s="81">
        <f>D35+D31</f>
        <v>4150358.94</v>
      </c>
      <c r="E36" s="81">
        <f t="shared" ref="E36:H36" si="6">E35+E31</f>
        <v>3866696.17</v>
      </c>
      <c r="F36" s="81">
        <f t="shared" si="6"/>
        <v>15670659</v>
      </c>
      <c r="G36" s="81">
        <f t="shared" si="6"/>
        <v>564070.52</v>
      </c>
      <c r="H36" s="81">
        <f t="shared" si="6"/>
        <v>24251784.629999999</v>
      </c>
    </row>
    <row r="37" spans="1:11" ht="12.75" customHeight="1" x14ac:dyDescent="0.2">
      <c r="A37" s="121" t="s">
        <v>22</v>
      </c>
      <c r="B37" s="122"/>
      <c r="C37" s="122"/>
      <c r="D37" s="122"/>
      <c r="E37" s="122"/>
      <c r="F37" s="122"/>
      <c r="G37" s="122"/>
      <c r="H37" s="123"/>
    </row>
    <row r="38" spans="1:11" ht="54.75" customHeight="1" x14ac:dyDescent="0.2">
      <c r="A38" s="23">
        <v>9</v>
      </c>
      <c r="B38" s="24" t="s">
        <v>122</v>
      </c>
      <c r="C38" s="24" t="s">
        <v>123</v>
      </c>
      <c r="D38" s="27"/>
      <c r="E38" s="27"/>
      <c r="F38" s="27"/>
      <c r="G38" s="83">
        <f>(H36+H42)*11.24%</f>
        <v>2927627.88</v>
      </c>
      <c r="H38" s="83">
        <f t="shared" ref="H38" si="7">SUM(D38:G38)</f>
        <v>2927627.88</v>
      </c>
    </row>
    <row r="39" spans="1:11" ht="25.5" customHeight="1" x14ac:dyDescent="0.2">
      <c r="A39" s="22"/>
      <c r="B39" s="124" t="s">
        <v>23</v>
      </c>
      <c r="C39" s="125"/>
      <c r="D39" s="31"/>
      <c r="E39" s="32"/>
      <c r="F39" s="32"/>
      <c r="G39" s="81">
        <f>SUM(G38:G38)</f>
        <v>2927627.88</v>
      </c>
      <c r="H39" s="81">
        <f>SUM(H38:H38)</f>
        <v>2927627.88</v>
      </c>
    </row>
    <row r="40" spans="1:11" ht="56.45" customHeight="1" x14ac:dyDescent="0.2">
      <c r="A40" s="121" t="s">
        <v>44</v>
      </c>
      <c r="B40" s="122"/>
      <c r="C40" s="122"/>
      <c r="D40" s="122"/>
      <c r="E40" s="122"/>
      <c r="F40" s="122"/>
      <c r="G40" s="122"/>
      <c r="H40" s="123"/>
    </row>
    <row r="41" spans="1:11" ht="18.600000000000001" customHeight="1" x14ac:dyDescent="0.2">
      <c r="A41" s="23">
        <v>10</v>
      </c>
      <c r="B41" s="42" t="s">
        <v>38</v>
      </c>
      <c r="C41" s="42" t="s">
        <v>37</v>
      </c>
      <c r="D41" s="82"/>
      <c r="E41" s="82"/>
      <c r="F41" s="82"/>
      <c r="G41" s="79">
        <v>1794726.8</v>
      </c>
      <c r="H41" s="79">
        <f t="shared" ref="H41" si="8">SUM(D41:G41)</f>
        <v>1794726.8</v>
      </c>
    </row>
    <row r="42" spans="1:11" ht="117" customHeight="1" x14ac:dyDescent="0.2">
      <c r="A42" s="22"/>
      <c r="B42" s="124" t="s">
        <v>45</v>
      </c>
      <c r="C42" s="125"/>
      <c r="D42" s="81"/>
      <c r="E42" s="81"/>
      <c r="F42" s="81"/>
      <c r="G42" s="81">
        <f>G41</f>
        <v>1794726.8</v>
      </c>
      <c r="H42" s="81">
        <f>H41</f>
        <v>1794726.8</v>
      </c>
    </row>
    <row r="43" spans="1:11" x14ac:dyDescent="0.2">
      <c r="A43" s="22"/>
      <c r="B43" s="124" t="s">
        <v>24</v>
      </c>
      <c r="C43" s="125"/>
      <c r="D43" s="81">
        <f>D42+D39+D36</f>
        <v>4150358.94</v>
      </c>
      <c r="E43" s="81">
        <f t="shared" ref="E43:H43" si="9">E42+E39+E36</f>
        <v>3866696.17</v>
      </c>
      <c r="F43" s="81">
        <f t="shared" si="9"/>
        <v>15670659</v>
      </c>
      <c r="G43" s="81">
        <f t="shared" si="9"/>
        <v>5286425.2</v>
      </c>
      <c r="H43" s="81">
        <f t="shared" si="9"/>
        <v>28974139.309999999</v>
      </c>
      <c r="J43" s="77"/>
    </row>
    <row r="44" spans="1:11" x14ac:dyDescent="0.2">
      <c r="A44" s="113" t="s">
        <v>127</v>
      </c>
      <c r="B44" s="114"/>
      <c r="C44" s="115"/>
      <c r="D44" s="93">
        <f>1.054*1.05100356465448*1.04900176223018*1.04900176223018</f>
        <v>1.21898183928093</v>
      </c>
      <c r="E44" s="93">
        <f>D44</f>
        <v>1.21898183928093</v>
      </c>
      <c r="F44" s="93">
        <f>D44</f>
        <v>1.21898183928093</v>
      </c>
      <c r="G44" s="93">
        <f>D44</f>
        <v>1.21898183928093</v>
      </c>
      <c r="H44" s="93">
        <f>D44</f>
        <v>1.21898183928093</v>
      </c>
    </row>
    <row r="45" spans="1:11" ht="12.75" customHeight="1" x14ac:dyDescent="0.2">
      <c r="A45" s="113" t="s">
        <v>112</v>
      </c>
      <c r="B45" s="116"/>
      <c r="C45" s="117"/>
      <c r="D45" s="45">
        <f>D43*D44</f>
        <v>5059212.17</v>
      </c>
      <c r="E45" s="45">
        <f t="shared" ref="E45:H45" si="10">E43*E44</f>
        <v>4713432.41</v>
      </c>
      <c r="F45" s="45">
        <f t="shared" si="10"/>
        <v>19102248.73</v>
      </c>
      <c r="G45" s="45">
        <f t="shared" si="10"/>
        <v>6444056.3099999996</v>
      </c>
      <c r="H45" s="45">
        <f t="shared" si="10"/>
        <v>35318949.630000003</v>
      </c>
    </row>
    <row r="46" spans="1:11" x14ac:dyDescent="0.2">
      <c r="A46" s="1">
        <v>11</v>
      </c>
      <c r="B46" s="39"/>
      <c r="C46" s="42" t="s">
        <v>47</v>
      </c>
      <c r="D46" s="43">
        <f>D45*1%</f>
        <v>50592.12</v>
      </c>
      <c r="E46" s="43">
        <f t="shared" ref="E46:F46" si="11">E45*1%</f>
        <v>47134.32</v>
      </c>
      <c r="F46" s="43">
        <f t="shared" si="11"/>
        <v>191022.49</v>
      </c>
      <c r="G46" s="43">
        <f>G45*1%</f>
        <v>64440.56</v>
      </c>
      <c r="H46" s="43">
        <f>SUM(D46:G46)</f>
        <v>353189.49</v>
      </c>
    </row>
    <row r="47" spans="1:11" s="4" customFormat="1" ht="16.5" customHeight="1" x14ac:dyDescent="0.2">
      <c r="A47" s="40"/>
      <c r="B47" s="126" t="s">
        <v>48</v>
      </c>
      <c r="C47" s="127"/>
      <c r="D47" s="80">
        <f>D45+D46</f>
        <v>5109804.29</v>
      </c>
      <c r="E47" s="80">
        <f t="shared" ref="E47:H47" si="12">E45+E46</f>
        <v>4760566.7300000004</v>
      </c>
      <c r="F47" s="80">
        <f t="shared" si="12"/>
        <v>19293271.219999999</v>
      </c>
      <c r="G47" s="80">
        <f t="shared" si="12"/>
        <v>6508496.8700000001</v>
      </c>
      <c r="H47" s="80">
        <f t="shared" si="12"/>
        <v>35672139.119999997</v>
      </c>
      <c r="I47" s="92"/>
      <c r="J47" s="94"/>
    </row>
    <row r="48" spans="1:11" ht="18" customHeight="1" x14ac:dyDescent="0.2">
      <c r="A48" s="23">
        <v>12</v>
      </c>
      <c r="B48" s="24"/>
      <c r="C48" s="24" t="s">
        <v>25</v>
      </c>
      <c r="D48" s="83">
        <f>D47*0.2</f>
        <v>1021960.86</v>
      </c>
      <c r="E48" s="83">
        <f>E47*0.2</f>
        <v>952113.35</v>
      </c>
      <c r="F48" s="83">
        <f>F47*0.2</f>
        <v>3858654.24</v>
      </c>
      <c r="G48" s="83">
        <f>G47*0.2</f>
        <v>1301699.3700000001</v>
      </c>
      <c r="H48" s="83">
        <f>H47*0.2</f>
        <v>7134427.8200000003</v>
      </c>
      <c r="K48" s="41"/>
    </row>
    <row r="49" spans="1:8" s="33" customFormat="1" ht="18" customHeight="1" x14ac:dyDescent="0.2">
      <c r="A49" s="73"/>
      <c r="B49" s="128" t="s">
        <v>31</v>
      </c>
      <c r="C49" s="129"/>
      <c r="D49" s="81">
        <f>D47+D48</f>
        <v>6131765.1500000004</v>
      </c>
      <c r="E49" s="81">
        <f>E47+E48</f>
        <v>5712680.0800000001</v>
      </c>
      <c r="F49" s="81">
        <f>F47+F48</f>
        <v>23151925.460000001</v>
      </c>
      <c r="G49" s="81">
        <f>G47+G48</f>
        <v>7810196.2400000002</v>
      </c>
      <c r="H49" s="81">
        <f>H47+H48</f>
        <v>42806566.939999998</v>
      </c>
    </row>
    <row r="50" spans="1:8" x14ac:dyDescent="0.2">
      <c r="A50" s="16"/>
      <c r="B50" s="17"/>
      <c r="C50" s="17"/>
      <c r="D50" s="34"/>
      <c r="E50" s="34"/>
      <c r="F50" s="34"/>
      <c r="G50" s="34"/>
      <c r="H50" s="34"/>
    </row>
    <row r="51" spans="1:8" s="36" customFormat="1" ht="21" customHeight="1" x14ac:dyDescent="0.2">
      <c r="A51" s="118" t="s">
        <v>40</v>
      </c>
      <c r="B51" s="118"/>
      <c r="C51" s="118"/>
      <c r="D51" s="35"/>
      <c r="E51" s="35"/>
      <c r="F51" s="35"/>
      <c r="G51" s="35"/>
      <c r="H51" s="35"/>
    </row>
    <row r="52" spans="1:8" s="36" customFormat="1" ht="14.25" customHeight="1" x14ac:dyDescent="0.2">
      <c r="A52" s="119" t="s">
        <v>46</v>
      </c>
      <c r="B52" s="119"/>
      <c r="C52" s="119"/>
      <c r="D52" s="35"/>
      <c r="E52" s="35"/>
      <c r="F52" s="35"/>
      <c r="G52" s="120" t="s">
        <v>39</v>
      </c>
      <c r="H52" s="120"/>
    </row>
    <row r="53" spans="1:8" s="37" customFormat="1" ht="12.75" customHeight="1" x14ac:dyDescent="0.2">
      <c r="A53" s="112" t="s">
        <v>26</v>
      </c>
      <c r="B53" s="112"/>
      <c r="C53" s="112"/>
      <c r="D53" s="112"/>
      <c r="E53" s="112"/>
      <c r="F53" s="112"/>
      <c r="G53" s="112"/>
      <c r="H53" s="112"/>
    </row>
    <row r="54" spans="1:8" s="36" customFormat="1" ht="21" customHeight="1" x14ac:dyDescent="0.2">
      <c r="A54" s="118" t="s">
        <v>41</v>
      </c>
      <c r="B54" s="118"/>
      <c r="C54" s="118"/>
      <c r="D54" s="35"/>
      <c r="E54" s="35"/>
      <c r="F54" s="35"/>
      <c r="G54" s="35"/>
      <c r="H54" s="35"/>
    </row>
    <row r="55" spans="1:8" s="36" customFormat="1" ht="37.5" customHeight="1" x14ac:dyDescent="0.2">
      <c r="A55" s="120" t="s">
        <v>107</v>
      </c>
      <c r="B55" s="120"/>
      <c r="C55" s="120"/>
      <c r="D55" s="35"/>
      <c r="E55" s="35"/>
      <c r="F55" s="35"/>
      <c r="G55" s="120" t="s">
        <v>119</v>
      </c>
      <c r="H55" s="120"/>
    </row>
    <row r="56" spans="1:8" s="37" customFormat="1" ht="15.6" customHeight="1" x14ac:dyDescent="0.2">
      <c r="A56" s="112" t="s">
        <v>26</v>
      </c>
      <c r="B56" s="112"/>
      <c r="C56" s="112"/>
      <c r="D56" s="112"/>
      <c r="E56" s="112"/>
      <c r="F56" s="112"/>
      <c r="G56" s="112"/>
      <c r="H56" s="112"/>
    </row>
    <row r="57" spans="1:8" x14ac:dyDescent="0.2">
      <c r="C57" s="5"/>
    </row>
    <row r="62" spans="1:8" x14ac:dyDescent="0.2">
      <c r="H62" s="78">
        <f>H49+'[2]Сводный сметный расчет'!$H$42</f>
        <v>42808543.411579996</v>
      </c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B39:C39"/>
    <mergeCell ref="A18:H18"/>
    <mergeCell ref="B25:C25"/>
    <mergeCell ref="A26:H26"/>
    <mergeCell ref="B27:C27"/>
    <mergeCell ref="A28:H28"/>
    <mergeCell ref="B30:C30"/>
    <mergeCell ref="B31:C31"/>
    <mergeCell ref="A32:H32"/>
    <mergeCell ref="B35:C35"/>
    <mergeCell ref="B36:C36"/>
    <mergeCell ref="A37:H37"/>
    <mergeCell ref="A40:H40"/>
    <mergeCell ref="B42:C42"/>
    <mergeCell ref="B43:C43"/>
    <mergeCell ref="B47:C47"/>
    <mergeCell ref="B49:C49"/>
    <mergeCell ref="A56:H56"/>
    <mergeCell ref="A44:C44"/>
    <mergeCell ref="A45:C45"/>
    <mergeCell ref="A51:C51"/>
    <mergeCell ref="A52:C52"/>
    <mergeCell ref="G52:H52"/>
    <mergeCell ref="A53:H53"/>
    <mergeCell ref="A54:C54"/>
    <mergeCell ref="A55:C55"/>
    <mergeCell ref="G55:H55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BA850-7ABF-46F0-8567-AEB5271971B2}">
  <sheetPr>
    <pageSetUpPr autoPageBreaks="0" fitToPage="1"/>
  </sheetPr>
  <dimension ref="A1:K62"/>
  <sheetViews>
    <sheetView showGridLines="0" view="pageBreakPreview" topLeftCell="A4" zoomScale="85" zoomScaleNormal="100" zoomScaleSheetLayoutView="85" workbookViewId="0">
      <selection activeCell="J23" sqref="J22:J24"/>
    </sheetView>
  </sheetViews>
  <sheetFormatPr defaultColWidth="9.140625" defaultRowHeight="12.75" x14ac:dyDescent="0.2"/>
  <cols>
    <col min="1" max="1" width="5" style="38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20.42578125" style="8" customWidth="1"/>
    <col min="10" max="10" width="18" style="8" customWidth="1"/>
    <col min="11" max="16384" width="9.140625" style="8"/>
  </cols>
  <sheetData>
    <row r="1" spans="1:8" s="4" customFormat="1" ht="22.9" customHeight="1" x14ac:dyDescent="0.2">
      <c r="A1" s="75" t="s">
        <v>27</v>
      </c>
      <c r="B1" s="2"/>
      <c r="C1" s="138" t="s">
        <v>33</v>
      </c>
      <c r="D1" s="138"/>
      <c r="E1" s="138"/>
      <c r="F1" s="138"/>
      <c r="G1" s="138"/>
      <c r="H1" s="3"/>
    </row>
    <row r="2" spans="1:8" ht="17.25" customHeight="1" x14ac:dyDescent="0.2">
      <c r="A2" s="5" t="s">
        <v>28</v>
      </c>
      <c r="C2" s="5"/>
    </row>
    <row r="3" spans="1:8" ht="17.25" customHeight="1" x14ac:dyDescent="0.25">
      <c r="A3" s="139" t="s">
        <v>42</v>
      </c>
      <c r="B3" s="139"/>
      <c r="C3" s="139"/>
      <c r="E3" s="140"/>
      <c r="F3" s="140"/>
      <c r="G3" s="140"/>
      <c r="H3" s="140"/>
    </row>
    <row r="4" spans="1:8" s="12" customFormat="1" ht="18.600000000000001" customHeight="1" x14ac:dyDescent="0.25">
      <c r="A4" s="141" t="s">
        <v>29</v>
      </c>
      <c r="B4" s="141"/>
      <c r="C4" s="141"/>
      <c r="D4" s="9">
        <f>H49</f>
        <v>41232231.310000002</v>
      </c>
      <c r="E4" s="10" t="s">
        <v>32</v>
      </c>
      <c r="F4" s="11"/>
      <c r="G4" s="11"/>
      <c r="H4" s="11"/>
    </row>
    <row r="5" spans="1:8" ht="12.6" customHeight="1" x14ac:dyDescent="0.2">
      <c r="A5" s="142"/>
      <c r="B5" s="143"/>
      <c r="C5" s="143"/>
      <c r="D5" s="143"/>
      <c r="E5" s="144"/>
      <c r="F5" s="144"/>
      <c r="G5" s="144"/>
      <c r="H5" s="144"/>
    </row>
    <row r="6" spans="1:8" ht="21" customHeight="1" x14ac:dyDescent="0.2">
      <c r="A6" s="145" t="s">
        <v>30</v>
      </c>
      <c r="B6" s="145"/>
      <c r="C6" s="145"/>
      <c r="D6" s="145"/>
      <c r="E6" s="146"/>
      <c r="F6" s="146"/>
      <c r="G6" s="146"/>
      <c r="H6" s="146"/>
    </row>
    <row r="7" spans="1:8" ht="15" x14ac:dyDescent="0.2">
      <c r="A7" s="13" t="s">
        <v>43</v>
      </c>
      <c r="B7" s="14"/>
      <c r="C7" s="15"/>
      <c r="D7" s="14"/>
      <c r="E7" s="74"/>
      <c r="F7" s="74"/>
      <c r="G7" s="74"/>
      <c r="H7" s="74"/>
    </row>
    <row r="8" spans="1:8" ht="27" customHeight="1" x14ac:dyDescent="0.2">
      <c r="A8" s="147" t="s">
        <v>90</v>
      </c>
      <c r="B8" s="147"/>
      <c r="C8" s="147"/>
      <c r="D8" s="147"/>
      <c r="E8" s="147"/>
      <c r="F8" s="147"/>
      <c r="G8" s="147"/>
      <c r="H8" s="147"/>
    </row>
    <row r="9" spans="1:8" s="4" customFormat="1" ht="32.450000000000003" customHeight="1" x14ac:dyDescent="0.2">
      <c r="A9" s="148" t="s">
        <v>91</v>
      </c>
      <c r="B9" s="148"/>
      <c r="C9" s="148"/>
      <c r="D9" s="148"/>
      <c r="E9" s="148"/>
      <c r="F9" s="148"/>
      <c r="G9" s="148"/>
      <c r="H9" s="148"/>
    </row>
    <row r="10" spans="1:8" ht="17.45" customHeight="1" x14ac:dyDescent="0.2">
      <c r="A10" s="16"/>
      <c r="B10" s="17"/>
      <c r="C10" s="149" t="s">
        <v>0</v>
      </c>
      <c r="D10" s="149"/>
      <c r="E10" s="149"/>
      <c r="F10" s="18"/>
      <c r="G10" s="18"/>
      <c r="H10" s="18"/>
    </row>
    <row r="11" spans="1:8" s="4" customFormat="1" ht="21" customHeight="1" x14ac:dyDescent="0.2">
      <c r="A11" s="137" t="s">
        <v>92</v>
      </c>
      <c r="B11" s="137"/>
      <c r="C11" s="137"/>
      <c r="D11" s="137"/>
      <c r="E11" s="137"/>
      <c r="F11" s="137"/>
      <c r="G11" s="137"/>
      <c r="H11" s="137"/>
    </row>
    <row r="12" spans="1:8" x14ac:dyDescent="0.2">
      <c r="A12" s="16"/>
      <c r="B12" s="17" t="s">
        <v>93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34" t="s">
        <v>1</v>
      </c>
      <c r="B13" s="135" t="s">
        <v>5</v>
      </c>
      <c r="C13" s="135" t="s">
        <v>6</v>
      </c>
      <c r="D13" s="136" t="s">
        <v>8</v>
      </c>
      <c r="E13" s="136"/>
      <c r="F13" s="136"/>
      <c r="G13" s="136"/>
      <c r="H13" s="134" t="s">
        <v>9</v>
      </c>
    </row>
    <row r="14" spans="1:8" x14ac:dyDescent="0.2">
      <c r="A14" s="134"/>
      <c r="B14" s="135"/>
      <c r="C14" s="135"/>
      <c r="D14" s="134" t="s">
        <v>7</v>
      </c>
      <c r="E14" s="134" t="s">
        <v>2</v>
      </c>
      <c r="F14" s="134" t="s">
        <v>3</v>
      </c>
      <c r="G14" s="134" t="s">
        <v>4</v>
      </c>
      <c r="H14" s="134"/>
    </row>
    <row r="15" spans="1:8" x14ac:dyDescent="0.2">
      <c r="A15" s="134"/>
      <c r="B15" s="135"/>
      <c r="C15" s="135"/>
      <c r="D15" s="134"/>
      <c r="E15" s="134"/>
      <c r="F15" s="134"/>
      <c r="G15" s="134"/>
      <c r="H15" s="134"/>
    </row>
    <row r="16" spans="1:8" x14ac:dyDescent="0.2">
      <c r="A16" s="134"/>
      <c r="B16" s="135"/>
      <c r="C16" s="135"/>
      <c r="D16" s="134"/>
      <c r="E16" s="134"/>
      <c r="F16" s="134"/>
      <c r="G16" s="134"/>
      <c r="H16" s="134"/>
    </row>
    <row r="17" spans="1:10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10" ht="12.75" customHeight="1" x14ac:dyDescent="0.2">
      <c r="A18" s="130" t="s">
        <v>10</v>
      </c>
      <c r="B18" s="131"/>
      <c r="C18" s="131"/>
      <c r="D18" s="131"/>
      <c r="E18" s="131"/>
      <c r="F18" s="131"/>
      <c r="G18" s="131"/>
      <c r="H18" s="131"/>
    </row>
    <row r="19" spans="1:10" ht="26.45" customHeight="1" x14ac:dyDescent="0.2">
      <c r="A19" s="1">
        <v>1</v>
      </c>
      <c r="B19" s="42" t="s">
        <v>34</v>
      </c>
      <c r="C19" s="42" t="s">
        <v>94</v>
      </c>
      <c r="D19" s="82"/>
      <c r="E19" s="79">
        <f>2368.16*I19</f>
        <v>317333.44</v>
      </c>
      <c r="F19" s="79">
        <f>9530*I19</f>
        <v>1277020</v>
      </c>
      <c r="G19" s="82"/>
      <c r="H19" s="79">
        <f>SUM(D19:G19)</f>
        <v>1594353.44</v>
      </c>
      <c r="I19" s="8">
        <v>134</v>
      </c>
    </row>
    <row r="20" spans="1:10" ht="24.95" customHeight="1" x14ac:dyDescent="0.2">
      <c r="A20" s="1">
        <v>2</v>
      </c>
      <c r="B20" s="42" t="s">
        <v>95</v>
      </c>
      <c r="C20" s="42" t="s">
        <v>96</v>
      </c>
      <c r="D20" s="82"/>
      <c r="E20" s="79">
        <f>2368.16*I20</f>
        <v>1790328.96</v>
      </c>
      <c r="F20" s="79">
        <f>9923*I20</f>
        <v>7501788</v>
      </c>
      <c r="G20" s="82"/>
      <c r="H20" s="79">
        <f t="shared" ref="H20:H24" si="0">SUM(D20:G20)</f>
        <v>9292116.9600000009</v>
      </c>
      <c r="I20" s="8">
        <v>756</v>
      </c>
    </row>
    <row r="21" spans="1:10" ht="24.95" customHeight="1" x14ac:dyDescent="0.2">
      <c r="A21" s="1">
        <v>3</v>
      </c>
      <c r="B21" s="42" t="s">
        <v>97</v>
      </c>
      <c r="C21" s="42" t="s">
        <v>98</v>
      </c>
      <c r="D21" s="82"/>
      <c r="E21" s="79">
        <f xml:space="preserve"> 4415.3*I21</f>
        <v>234010.9</v>
      </c>
      <c r="F21" s="79">
        <f>15580*I21</f>
        <v>825740</v>
      </c>
      <c r="G21" s="82"/>
      <c r="H21" s="79">
        <f t="shared" si="0"/>
        <v>1059750.8999999999</v>
      </c>
      <c r="I21" s="8">
        <v>53</v>
      </c>
    </row>
    <row r="22" spans="1:10" ht="24.95" customHeight="1" x14ac:dyDescent="0.2">
      <c r="A22" s="1">
        <v>4</v>
      </c>
      <c r="B22" s="42" t="s">
        <v>99</v>
      </c>
      <c r="C22" s="42" t="s">
        <v>100</v>
      </c>
      <c r="D22" s="82"/>
      <c r="E22" s="79">
        <f>4128.97*I22</f>
        <v>1242819.97</v>
      </c>
      <c r="F22" s="79">
        <f>16064*I22</f>
        <v>4835264</v>
      </c>
      <c r="G22" s="82"/>
      <c r="H22" s="79">
        <f t="shared" si="0"/>
        <v>6078083.9699999997</v>
      </c>
      <c r="I22" s="8">
        <v>301</v>
      </c>
    </row>
    <row r="23" spans="1:10" ht="14.45" customHeight="1" x14ac:dyDescent="0.2">
      <c r="A23" s="1">
        <v>5</v>
      </c>
      <c r="B23" s="42" t="s">
        <v>101</v>
      </c>
      <c r="C23" s="42" t="s">
        <v>102</v>
      </c>
      <c r="D23" s="79">
        <f xml:space="preserve"> 3983.07*I23</f>
        <v>3544932.3</v>
      </c>
      <c r="E23" s="82"/>
      <c r="F23" s="82"/>
      <c r="G23" s="82"/>
      <c r="H23" s="79">
        <f t="shared" si="0"/>
        <v>3544932.3</v>
      </c>
      <c r="I23" s="8">
        <f>I19+I20</f>
        <v>890</v>
      </c>
      <c r="J23" s="97"/>
    </row>
    <row r="24" spans="1:10" ht="16.899999999999999" customHeight="1" x14ac:dyDescent="0.2">
      <c r="A24" s="1">
        <v>6</v>
      </c>
      <c r="B24" s="42" t="s">
        <v>103</v>
      </c>
      <c r="C24" s="42" t="s">
        <v>104</v>
      </c>
      <c r="D24" s="79">
        <f>5875.36*I24</f>
        <v>276141.92</v>
      </c>
      <c r="E24" s="82"/>
      <c r="F24" s="82"/>
      <c r="G24" s="82"/>
      <c r="H24" s="79">
        <f t="shared" si="0"/>
        <v>276141.92</v>
      </c>
      <c r="I24" s="8">
        <v>47</v>
      </c>
    </row>
    <row r="25" spans="1:10" ht="18" customHeight="1" x14ac:dyDescent="0.2">
      <c r="A25" s="22"/>
      <c r="B25" s="132" t="s">
        <v>11</v>
      </c>
      <c r="C25" s="133"/>
      <c r="D25" s="81">
        <f>SUM(D19:D24)</f>
        <v>3821074.22</v>
      </c>
      <c r="E25" s="81">
        <f t="shared" ref="E25:H25" si="1">SUM(E19:E24)</f>
        <v>3584493.27</v>
      </c>
      <c r="F25" s="81">
        <f t="shared" si="1"/>
        <v>14439812</v>
      </c>
      <c r="G25" s="81">
        <f t="shared" si="1"/>
        <v>0</v>
      </c>
      <c r="H25" s="81">
        <f t="shared" si="1"/>
        <v>21845379.489999998</v>
      </c>
    </row>
    <row r="26" spans="1:10" ht="12.75" customHeight="1" x14ac:dyDescent="0.2">
      <c r="A26" s="130" t="s">
        <v>12</v>
      </c>
      <c r="B26" s="131"/>
      <c r="C26" s="131"/>
      <c r="D26" s="131"/>
      <c r="E26" s="131"/>
      <c r="F26" s="131"/>
      <c r="G26" s="131"/>
      <c r="H26" s="131"/>
    </row>
    <row r="27" spans="1:10" x14ac:dyDescent="0.2">
      <c r="A27" s="22"/>
      <c r="B27" s="132" t="s">
        <v>13</v>
      </c>
      <c r="C27" s="133"/>
      <c r="D27" s="81">
        <f>D25</f>
        <v>3821074.22</v>
      </c>
      <c r="E27" s="81">
        <f>E25</f>
        <v>3584493.27</v>
      </c>
      <c r="F27" s="81">
        <f t="shared" ref="F27:H27" si="2">F25</f>
        <v>14439812</v>
      </c>
      <c r="G27" s="81"/>
      <c r="H27" s="81">
        <f t="shared" si="2"/>
        <v>21845379.489999998</v>
      </c>
    </row>
    <row r="28" spans="1:10" ht="12.75" customHeight="1" x14ac:dyDescent="0.2">
      <c r="A28" s="130" t="s">
        <v>14</v>
      </c>
      <c r="B28" s="131"/>
      <c r="C28" s="131"/>
      <c r="D28" s="131"/>
      <c r="E28" s="131"/>
      <c r="F28" s="131"/>
      <c r="G28" s="131"/>
      <c r="H28" s="131"/>
    </row>
    <row r="29" spans="1:10" ht="19.5" hidden="1" customHeight="1" x14ac:dyDescent="0.2">
      <c r="A29" s="23">
        <v>19</v>
      </c>
      <c r="B29" s="24" t="s">
        <v>15</v>
      </c>
      <c r="C29" s="24" t="s">
        <v>16</v>
      </c>
      <c r="D29" s="25"/>
      <c r="E29" s="26"/>
      <c r="F29" s="27"/>
      <c r="G29" s="27"/>
      <c r="H29" s="28">
        <f t="shared" ref="H29" si="3">SUM(E29:G29)</f>
        <v>0</v>
      </c>
    </row>
    <row r="30" spans="1:10" ht="12.75" customHeight="1" x14ac:dyDescent="0.2">
      <c r="A30" s="22"/>
      <c r="B30" s="132" t="s">
        <v>17</v>
      </c>
      <c r="C30" s="133"/>
      <c r="D30" s="27"/>
      <c r="E30" s="29"/>
      <c r="F30" s="30"/>
      <c r="G30" s="30"/>
      <c r="H30" s="29"/>
    </row>
    <row r="31" spans="1:10" x14ac:dyDescent="0.2">
      <c r="A31" s="22"/>
      <c r="B31" s="132" t="s">
        <v>18</v>
      </c>
      <c r="C31" s="133"/>
      <c r="D31" s="81">
        <f>D27</f>
        <v>3821074.22</v>
      </c>
      <c r="E31" s="81">
        <f t="shared" ref="E31:H31" si="4">E27+E30</f>
        <v>3584493.27</v>
      </c>
      <c r="F31" s="81">
        <f t="shared" si="4"/>
        <v>14439812</v>
      </c>
      <c r="G31" s="81"/>
      <c r="H31" s="81">
        <f t="shared" si="4"/>
        <v>21845379.489999998</v>
      </c>
    </row>
    <row r="32" spans="1:10" ht="15" customHeight="1" x14ac:dyDescent="0.2">
      <c r="A32" s="130" t="s">
        <v>19</v>
      </c>
      <c r="B32" s="131"/>
      <c r="C32" s="131"/>
      <c r="D32" s="131"/>
      <c r="E32" s="131"/>
      <c r="F32" s="131"/>
      <c r="G32" s="131"/>
      <c r="H32" s="131"/>
    </row>
    <row r="33" spans="1:11" ht="15.95" customHeight="1" x14ac:dyDescent="0.2">
      <c r="A33" s="1">
        <v>7</v>
      </c>
      <c r="B33" s="42" t="s">
        <v>35</v>
      </c>
      <c r="C33" s="42" t="s">
        <v>105</v>
      </c>
      <c r="D33" s="82"/>
      <c r="E33" s="82"/>
      <c r="F33" s="82"/>
      <c r="G33" s="79">
        <f>409.34*I33</f>
        <v>364312.6</v>
      </c>
      <c r="H33" s="79">
        <f t="shared" ref="H33:H34" si="5">SUM(D33:G33)</f>
        <v>364312.6</v>
      </c>
      <c r="I33" s="8">
        <f>I19+I20</f>
        <v>890</v>
      </c>
    </row>
    <row r="34" spans="1:11" ht="15.95" customHeight="1" x14ac:dyDescent="0.2">
      <c r="A34" s="1">
        <v>8</v>
      </c>
      <c r="B34" s="42" t="s">
        <v>36</v>
      </c>
      <c r="C34" s="42" t="s">
        <v>106</v>
      </c>
      <c r="D34" s="82"/>
      <c r="E34" s="82"/>
      <c r="F34" s="82"/>
      <c r="G34" s="79">
        <f>409.34*I34</f>
        <v>144906.35999999999</v>
      </c>
      <c r="H34" s="79">
        <f t="shared" si="5"/>
        <v>144906.35999999999</v>
      </c>
      <c r="I34" s="8">
        <f>I21+I22</f>
        <v>354</v>
      </c>
    </row>
    <row r="35" spans="1:11" ht="12.75" customHeight="1" x14ac:dyDescent="0.2">
      <c r="A35" s="22"/>
      <c r="B35" s="132" t="s">
        <v>20</v>
      </c>
      <c r="C35" s="132"/>
      <c r="D35" s="81"/>
      <c r="E35" s="81"/>
      <c r="F35" s="81"/>
      <c r="G35" s="81">
        <f>SUM(G33:G34)</f>
        <v>509218.96</v>
      </c>
      <c r="H35" s="81">
        <f>SUM(H33:H34)</f>
        <v>509218.96</v>
      </c>
    </row>
    <row r="36" spans="1:11" x14ac:dyDescent="0.2">
      <c r="A36" s="22"/>
      <c r="B36" s="132" t="s">
        <v>21</v>
      </c>
      <c r="C36" s="132"/>
      <c r="D36" s="81">
        <f>D35+D31</f>
        <v>3821074.22</v>
      </c>
      <c r="E36" s="81">
        <f t="shared" ref="E36:H36" si="6">E35+E31</f>
        <v>3584493.27</v>
      </c>
      <c r="F36" s="81">
        <f t="shared" si="6"/>
        <v>14439812</v>
      </c>
      <c r="G36" s="81">
        <f t="shared" si="6"/>
        <v>509218.96</v>
      </c>
      <c r="H36" s="81">
        <f t="shared" si="6"/>
        <v>22354598.449999999</v>
      </c>
    </row>
    <row r="37" spans="1:11" ht="12.75" customHeight="1" x14ac:dyDescent="0.2">
      <c r="A37" s="121" t="s">
        <v>22</v>
      </c>
      <c r="B37" s="122"/>
      <c r="C37" s="122"/>
      <c r="D37" s="122"/>
      <c r="E37" s="122"/>
      <c r="F37" s="122"/>
      <c r="G37" s="122"/>
      <c r="H37" s="123"/>
    </row>
    <row r="38" spans="1:11" ht="54.75" customHeight="1" x14ac:dyDescent="0.2">
      <c r="A38" s="23">
        <v>9</v>
      </c>
      <c r="B38" s="24" t="s">
        <v>122</v>
      </c>
      <c r="C38" s="24" t="s">
        <v>123</v>
      </c>
      <c r="D38" s="27"/>
      <c r="E38" s="27"/>
      <c r="F38" s="27"/>
      <c r="G38" s="83">
        <f>(H36+H42)*11.24%</f>
        <v>2688227.97</v>
      </c>
      <c r="H38" s="83">
        <f t="shared" ref="H38" si="7">SUM(D38:G38)</f>
        <v>2688227.97</v>
      </c>
    </row>
    <row r="39" spans="1:11" ht="25.5" customHeight="1" x14ac:dyDescent="0.2">
      <c r="A39" s="22"/>
      <c r="B39" s="124" t="s">
        <v>23</v>
      </c>
      <c r="C39" s="125"/>
      <c r="D39" s="31"/>
      <c r="E39" s="32"/>
      <c r="F39" s="32"/>
      <c r="G39" s="81">
        <f>SUM(G38:G38)</f>
        <v>2688227.97</v>
      </c>
      <c r="H39" s="81">
        <f>SUM(H38:H38)</f>
        <v>2688227.97</v>
      </c>
    </row>
    <row r="40" spans="1:11" ht="56.45" customHeight="1" x14ac:dyDescent="0.2">
      <c r="A40" s="121" t="s">
        <v>44</v>
      </c>
      <c r="B40" s="122"/>
      <c r="C40" s="122"/>
      <c r="D40" s="122"/>
      <c r="E40" s="122"/>
      <c r="F40" s="122"/>
      <c r="G40" s="122"/>
      <c r="H40" s="123"/>
    </row>
    <row r="41" spans="1:11" ht="18.600000000000001" customHeight="1" x14ac:dyDescent="0.2">
      <c r="A41" s="23">
        <v>10</v>
      </c>
      <c r="B41" s="42" t="s">
        <v>38</v>
      </c>
      <c r="C41" s="42" t="s">
        <v>37</v>
      </c>
      <c r="D41" s="82"/>
      <c r="E41" s="82"/>
      <c r="F41" s="82"/>
      <c r="G41" s="79">
        <v>1562020.52</v>
      </c>
      <c r="H41" s="79">
        <f t="shared" ref="H41" si="8">SUM(D41:G41)</f>
        <v>1562020.52</v>
      </c>
    </row>
    <row r="42" spans="1:11" ht="117" customHeight="1" x14ac:dyDescent="0.2">
      <c r="A42" s="22"/>
      <c r="B42" s="124" t="s">
        <v>45</v>
      </c>
      <c r="C42" s="125"/>
      <c r="D42" s="81"/>
      <c r="E42" s="81"/>
      <c r="F42" s="81"/>
      <c r="G42" s="81">
        <f>G41</f>
        <v>1562020.52</v>
      </c>
      <c r="H42" s="81">
        <f>H41</f>
        <v>1562020.52</v>
      </c>
    </row>
    <row r="43" spans="1:11" x14ac:dyDescent="0.2">
      <c r="A43" s="22"/>
      <c r="B43" s="124" t="s">
        <v>24</v>
      </c>
      <c r="C43" s="125"/>
      <c r="D43" s="81">
        <f>D42+D39+D36</f>
        <v>3821074.22</v>
      </c>
      <c r="E43" s="81">
        <f t="shared" ref="E43:H43" si="9">E42+E39+E36</f>
        <v>3584493.27</v>
      </c>
      <c r="F43" s="81">
        <f t="shared" si="9"/>
        <v>14439812</v>
      </c>
      <c r="G43" s="81">
        <f t="shared" si="9"/>
        <v>4759467.45</v>
      </c>
      <c r="H43" s="81">
        <f t="shared" si="9"/>
        <v>26604846.940000001</v>
      </c>
      <c r="J43" s="77"/>
    </row>
    <row r="44" spans="1:11" x14ac:dyDescent="0.2">
      <c r="A44" s="113" t="s">
        <v>128</v>
      </c>
      <c r="B44" s="114"/>
      <c r="C44" s="115"/>
      <c r="D44" s="93">
        <f>1.054*1.05100356465448*1.04900176223018*1.04900176223018*1.04900176223018</f>
        <v>1.2787140975322799</v>
      </c>
      <c r="E44" s="93">
        <f>D44</f>
        <v>1.2787140975322799</v>
      </c>
      <c r="F44" s="93">
        <f>D44</f>
        <v>1.2787140975322799</v>
      </c>
      <c r="G44" s="93">
        <f>D44</f>
        <v>1.2787140975322799</v>
      </c>
      <c r="H44" s="93">
        <f>D44</f>
        <v>1.2787140975322799</v>
      </c>
    </row>
    <row r="45" spans="1:11" ht="12.75" customHeight="1" x14ac:dyDescent="0.2">
      <c r="A45" s="113" t="s">
        <v>113</v>
      </c>
      <c r="B45" s="116"/>
      <c r="C45" s="117"/>
      <c r="D45" s="45">
        <f>D43*D44</f>
        <v>4886061.47</v>
      </c>
      <c r="E45" s="45">
        <f t="shared" ref="E45:H45" si="10">E43*E44</f>
        <v>4583542.08</v>
      </c>
      <c r="F45" s="45">
        <f t="shared" si="10"/>
        <v>18464391.170000002</v>
      </c>
      <c r="G45" s="45">
        <f t="shared" si="10"/>
        <v>6085998.1299999999</v>
      </c>
      <c r="H45" s="45">
        <f t="shared" si="10"/>
        <v>34019992.840000004</v>
      </c>
    </row>
    <row r="46" spans="1:11" x14ac:dyDescent="0.2">
      <c r="A46" s="1">
        <v>11</v>
      </c>
      <c r="B46" s="39"/>
      <c r="C46" s="42" t="s">
        <v>47</v>
      </c>
      <c r="D46" s="43">
        <f>D45*1%</f>
        <v>48860.61</v>
      </c>
      <c r="E46" s="43">
        <f t="shared" ref="E46:G46" si="11">E45*1%</f>
        <v>45835.42</v>
      </c>
      <c r="F46" s="43">
        <f t="shared" si="11"/>
        <v>184643.91</v>
      </c>
      <c r="G46" s="43">
        <f t="shared" si="11"/>
        <v>60859.98</v>
      </c>
      <c r="H46" s="43">
        <f>SUM(D46:G46)</f>
        <v>340199.92</v>
      </c>
    </row>
    <row r="47" spans="1:11" s="4" customFormat="1" ht="16.5" customHeight="1" x14ac:dyDescent="0.2">
      <c r="A47" s="40"/>
      <c r="B47" s="126" t="s">
        <v>48</v>
      </c>
      <c r="C47" s="127"/>
      <c r="D47" s="80">
        <f>D45+D46</f>
        <v>4934922.08</v>
      </c>
      <c r="E47" s="80">
        <f t="shared" ref="E47:H47" si="12">E45+E46</f>
        <v>4629377.5</v>
      </c>
      <c r="F47" s="80">
        <f t="shared" si="12"/>
        <v>18649035.079999998</v>
      </c>
      <c r="G47" s="80">
        <f t="shared" si="12"/>
        <v>6146858.1100000003</v>
      </c>
      <c r="H47" s="80">
        <f t="shared" si="12"/>
        <v>34360192.759999998</v>
      </c>
      <c r="I47" s="92"/>
      <c r="J47" s="96"/>
    </row>
    <row r="48" spans="1:11" ht="18" customHeight="1" x14ac:dyDescent="0.2">
      <c r="A48" s="23">
        <v>12</v>
      </c>
      <c r="B48" s="24"/>
      <c r="C48" s="24" t="s">
        <v>25</v>
      </c>
      <c r="D48" s="83">
        <f>D47*0.2</f>
        <v>986984.42</v>
      </c>
      <c r="E48" s="83">
        <f>E47*0.2</f>
        <v>925875.5</v>
      </c>
      <c r="F48" s="83">
        <f>F47*0.2</f>
        <v>3729807.02</v>
      </c>
      <c r="G48" s="83">
        <f>G47*0.2</f>
        <v>1229371.6200000001</v>
      </c>
      <c r="H48" s="83">
        <f>H47*0.2</f>
        <v>6872038.5499999998</v>
      </c>
      <c r="K48" s="41"/>
    </row>
    <row r="49" spans="1:8" s="33" customFormat="1" ht="18" customHeight="1" x14ac:dyDescent="0.2">
      <c r="A49" s="73"/>
      <c r="B49" s="128" t="s">
        <v>31</v>
      </c>
      <c r="C49" s="129"/>
      <c r="D49" s="81">
        <f>D47+D48</f>
        <v>5921906.5</v>
      </c>
      <c r="E49" s="81">
        <f>E47+E48</f>
        <v>5555253</v>
      </c>
      <c r="F49" s="81">
        <f>F47+F48</f>
        <v>22378842.100000001</v>
      </c>
      <c r="G49" s="81">
        <f>G47+G48</f>
        <v>7376229.7300000004</v>
      </c>
      <c r="H49" s="81">
        <f>H47+H48</f>
        <v>41232231.310000002</v>
      </c>
    </row>
    <row r="50" spans="1:8" x14ac:dyDescent="0.2">
      <c r="A50" s="16"/>
      <c r="B50" s="17"/>
      <c r="C50" s="17"/>
      <c r="D50" s="34"/>
      <c r="E50" s="34"/>
      <c r="F50" s="34"/>
      <c r="G50" s="34"/>
      <c r="H50" s="34"/>
    </row>
    <row r="51" spans="1:8" s="36" customFormat="1" ht="21" customHeight="1" x14ac:dyDescent="0.2">
      <c r="A51" s="118" t="s">
        <v>40</v>
      </c>
      <c r="B51" s="118"/>
      <c r="C51" s="118"/>
      <c r="D51" s="35"/>
      <c r="E51" s="35"/>
      <c r="F51" s="35"/>
      <c r="G51" s="35"/>
      <c r="H51" s="35"/>
    </row>
    <row r="52" spans="1:8" s="36" customFormat="1" ht="14.25" customHeight="1" x14ac:dyDescent="0.2">
      <c r="A52" s="119" t="s">
        <v>46</v>
      </c>
      <c r="B52" s="119"/>
      <c r="C52" s="119"/>
      <c r="D52" s="35"/>
      <c r="E52" s="35"/>
      <c r="F52" s="35"/>
      <c r="G52" s="120" t="s">
        <v>39</v>
      </c>
      <c r="H52" s="120"/>
    </row>
    <row r="53" spans="1:8" s="37" customFormat="1" ht="12.75" customHeight="1" x14ac:dyDescent="0.2">
      <c r="A53" s="112" t="s">
        <v>26</v>
      </c>
      <c r="B53" s="112"/>
      <c r="C53" s="112"/>
      <c r="D53" s="112"/>
      <c r="E53" s="112"/>
      <c r="F53" s="112"/>
      <c r="G53" s="112"/>
      <c r="H53" s="112"/>
    </row>
    <row r="54" spans="1:8" s="36" customFormat="1" ht="21" customHeight="1" x14ac:dyDescent="0.2">
      <c r="A54" s="118" t="s">
        <v>41</v>
      </c>
      <c r="B54" s="118"/>
      <c r="C54" s="118"/>
      <c r="D54" s="35"/>
      <c r="E54" s="35"/>
      <c r="F54" s="35"/>
      <c r="G54" s="35"/>
      <c r="H54" s="35"/>
    </row>
    <row r="55" spans="1:8" s="36" customFormat="1" ht="37.5" customHeight="1" x14ac:dyDescent="0.2">
      <c r="A55" s="120" t="s">
        <v>107</v>
      </c>
      <c r="B55" s="120"/>
      <c r="C55" s="120"/>
      <c r="D55" s="35"/>
      <c r="E55" s="35"/>
      <c r="F55" s="35"/>
      <c r="G55" s="120" t="s">
        <v>119</v>
      </c>
      <c r="H55" s="120"/>
    </row>
    <row r="56" spans="1:8" s="37" customFormat="1" ht="15.6" customHeight="1" x14ac:dyDescent="0.2">
      <c r="A56" s="112" t="s">
        <v>26</v>
      </c>
      <c r="B56" s="112"/>
      <c r="C56" s="112"/>
      <c r="D56" s="112"/>
      <c r="E56" s="112"/>
      <c r="F56" s="112"/>
      <c r="G56" s="112"/>
      <c r="H56" s="112"/>
    </row>
    <row r="57" spans="1:8" x14ac:dyDescent="0.2">
      <c r="C57" s="5"/>
    </row>
    <row r="62" spans="1:8" x14ac:dyDescent="0.2">
      <c r="H62" s="78">
        <f>H49+'[2]Сводный сметный расчет'!$H$42</f>
        <v>41234207.781580001</v>
      </c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B39:C39"/>
    <mergeCell ref="A18:H18"/>
    <mergeCell ref="B25:C25"/>
    <mergeCell ref="A26:H26"/>
    <mergeCell ref="B27:C27"/>
    <mergeCell ref="A28:H28"/>
    <mergeCell ref="B30:C30"/>
    <mergeCell ref="B31:C31"/>
    <mergeCell ref="A32:H32"/>
    <mergeCell ref="B35:C35"/>
    <mergeCell ref="B36:C36"/>
    <mergeCell ref="A37:H37"/>
    <mergeCell ref="A40:H40"/>
    <mergeCell ref="B42:C42"/>
    <mergeCell ref="B43:C43"/>
    <mergeCell ref="B47:C47"/>
    <mergeCell ref="B49:C49"/>
    <mergeCell ref="A56:H56"/>
    <mergeCell ref="A44:C44"/>
    <mergeCell ref="A45:C45"/>
    <mergeCell ref="A51:C51"/>
    <mergeCell ref="A52:C52"/>
    <mergeCell ref="G52:H52"/>
    <mergeCell ref="A53:H53"/>
    <mergeCell ref="A54:C54"/>
    <mergeCell ref="A55:C55"/>
    <mergeCell ref="G55:H55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B834E-BCCF-4321-93A1-FD2175CB09F4}">
  <sheetPr>
    <pageSetUpPr autoPageBreaks="0" fitToPage="1"/>
  </sheetPr>
  <dimension ref="A1:K62"/>
  <sheetViews>
    <sheetView showGridLines="0" view="pageBreakPreview" topLeftCell="A22" zoomScale="70" zoomScaleNormal="100" zoomScaleSheetLayoutView="70" workbookViewId="0">
      <selection activeCell="I47" sqref="I47:L47"/>
    </sheetView>
  </sheetViews>
  <sheetFormatPr defaultColWidth="9.140625" defaultRowHeight="12.75" x14ac:dyDescent="0.2"/>
  <cols>
    <col min="1" max="1" width="5" style="38" customWidth="1"/>
    <col min="2" max="2" width="21.42578125" style="6" customWidth="1"/>
    <col min="3" max="3" width="40.7109375" style="6" customWidth="1"/>
    <col min="4" max="7" width="16.7109375" style="7" customWidth="1"/>
    <col min="8" max="8" width="18.5703125" style="7" customWidth="1"/>
    <col min="9" max="9" width="17" style="8" customWidth="1"/>
    <col min="10" max="10" width="16.42578125" style="8" bestFit="1" customWidth="1"/>
    <col min="11" max="16384" width="9.140625" style="8"/>
  </cols>
  <sheetData>
    <row r="1" spans="1:8" s="4" customFormat="1" ht="22.9" customHeight="1" x14ac:dyDescent="0.2">
      <c r="A1" s="75" t="s">
        <v>27</v>
      </c>
      <c r="B1" s="2"/>
      <c r="C1" s="138" t="s">
        <v>33</v>
      </c>
      <c r="D1" s="138"/>
      <c r="E1" s="138"/>
      <c r="F1" s="138"/>
      <c r="G1" s="138"/>
      <c r="H1" s="3"/>
    </row>
    <row r="2" spans="1:8" ht="17.25" customHeight="1" x14ac:dyDescent="0.2">
      <c r="A2" s="5" t="s">
        <v>28</v>
      </c>
      <c r="C2" s="5"/>
    </row>
    <row r="3" spans="1:8" ht="17.25" customHeight="1" x14ac:dyDescent="0.25">
      <c r="A3" s="139" t="s">
        <v>42</v>
      </c>
      <c r="B3" s="139"/>
      <c r="C3" s="139"/>
      <c r="E3" s="140"/>
      <c r="F3" s="140"/>
      <c r="G3" s="140"/>
      <c r="H3" s="140"/>
    </row>
    <row r="4" spans="1:8" s="12" customFormat="1" ht="18.600000000000001" customHeight="1" x14ac:dyDescent="0.25">
      <c r="A4" s="141" t="s">
        <v>29</v>
      </c>
      <c r="B4" s="141"/>
      <c r="C4" s="141"/>
      <c r="D4" s="9">
        <f>H49</f>
        <v>12907581.26</v>
      </c>
      <c r="E4" s="10" t="s">
        <v>32</v>
      </c>
      <c r="F4" s="11"/>
      <c r="G4" s="11"/>
      <c r="H4" s="11"/>
    </row>
    <row r="5" spans="1:8" ht="12.6" customHeight="1" x14ac:dyDescent="0.2">
      <c r="A5" s="142"/>
      <c r="B5" s="143"/>
      <c r="C5" s="143"/>
      <c r="D5" s="143"/>
      <c r="E5" s="144"/>
      <c r="F5" s="144"/>
      <c r="G5" s="144"/>
      <c r="H5" s="144"/>
    </row>
    <row r="6" spans="1:8" ht="21" customHeight="1" x14ac:dyDescent="0.2">
      <c r="A6" s="145" t="s">
        <v>30</v>
      </c>
      <c r="B6" s="145"/>
      <c r="C6" s="145"/>
      <c r="D6" s="145"/>
      <c r="E6" s="146"/>
      <c r="F6" s="146"/>
      <c r="G6" s="146"/>
      <c r="H6" s="146"/>
    </row>
    <row r="7" spans="1:8" ht="15" x14ac:dyDescent="0.2">
      <c r="A7" s="13" t="s">
        <v>43</v>
      </c>
      <c r="B7" s="14"/>
      <c r="C7" s="15"/>
      <c r="D7" s="14"/>
      <c r="E7" s="74"/>
      <c r="F7" s="74"/>
      <c r="G7" s="74"/>
      <c r="H7" s="74"/>
    </row>
    <row r="8" spans="1:8" ht="27" customHeight="1" x14ac:dyDescent="0.2">
      <c r="A8" s="147" t="s">
        <v>90</v>
      </c>
      <c r="B8" s="147"/>
      <c r="C8" s="147"/>
      <c r="D8" s="147"/>
      <c r="E8" s="147"/>
      <c r="F8" s="147"/>
      <c r="G8" s="147"/>
      <c r="H8" s="147"/>
    </row>
    <row r="9" spans="1:8" s="4" customFormat="1" ht="32.450000000000003" customHeight="1" x14ac:dyDescent="0.2">
      <c r="A9" s="148" t="s">
        <v>91</v>
      </c>
      <c r="B9" s="148"/>
      <c r="C9" s="148"/>
      <c r="D9" s="148"/>
      <c r="E9" s="148"/>
      <c r="F9" s="148"/>
      <c r="G9" s="148"/>
      <c r="H9" s="148"/>
    </row>
    <row r="10" spans="1:8" ht="17.45" customHeight="1" x14ac:dyDescent="0.2">
      <c r="A10" s="16"/>
      <c r="B10" s="17"/>
      <c r="C10" s="149" t="s">
        <v>0</v>
      </c>
      <c r="D10" s="149"/>
      <c r="E10" s="149"/>
      <c r="F10" s="18"/>
      <c r="G10" s="18"/>
      <c r="H10" s="18"/>
    </row>
    <row r="11" spans="1:8" s="4" customFormat="1" ht="21" customHeight="1" x14ac:dyDescent="0.2">
      <c r="A11" s="137" t="s">
        <v>92</v>
      </c>
      <c r="B11" s="137"/>
      <c r="C11" s="137"/>
      <c r="D11" s="137"/>
      <c r="E11" s="137"/>
      <c r="F11" s="137"/>
      <c r="G11" s="137"/>
      <c r="H11" s="137"/>
    </row>
    <row r="12" spans="1:8" x14ac:dyDescent="0.2">
      <c r="A12" s="16"/>
      <c r="B12" s="17" t="s">
        <v>93</v>
      </c>
      <c r="C12" s="17"/>
      <c r="D12" s="19"/>
      <c r="E12" s="18"/>
      <c r="F12" s="18"/>
      <c r="G12" s="18"/>
      <c r="H12" s="18"/>
    </row>
    <row r="13" spans="1:8" ht="14.25" customHeight="1" x14ac:dyDescent="0.2">
      <c r="A13" s="134" t="s">
        <v>1</v>
      </c>
      <c r="B13" s="135" t="s">
        <v>5</v>
      </c>
      <c r="C13" s="135" t="s">
        <v>6</v>
      </c>
      <c r="D13" s="136" t="s">
        <v>8</v>
      </c>
      <c r="E13" s="136"/>
      <c r="F13" s="136"/>
      <c r="G13" s="136"/>
      <c r="H13" s="134" t="s">
        <v>9</v>
      </c>
    </row>
    <row r="14" spans="1:8" x14ac:dyDescent="0.2">
      <c r="A14" s="134"/>
      <c r="B14" s="135"/>
      <c r="C14" s="135"/>
      <c r="D14" s="134" t="s">
        <v>7</v>
      </c>
      <c r="E14" s="134" t="s">
        <v>2</v>
      </c>
      <c r="F14" s="134" t="s">
        <v>3</v>
      </c>
      <c r="G14" s="134" t="s">
        <v>4</v>
      </c>
      <c r="H14" s="134"/>
    </row>
    <row r="15" spans="1:8" x14ac:dyDescent="0.2">
      <c r="A15" s="134"/>
      <c r="B15" s="135"/>
      <c r="C15" s="135"/>
      <c r="D15" s="134"/>
      <c r="E15" s="134"/>
      <c r="F15" s="134"/>
      <c r="G15" s="134"/>
      <c r="H15" s="134"/>
    </row>
    <row r="16" spans="1:8" x14ac:dyDescent="0.2">
      <c r="A16" s="134"/>
      <c r="B16" s="135"/>
      <c r="C16" s="135"/>
      <c r="D16" s="134"/>
      <c r="E16" s="134"/>
      <c r="F16" s="134"/>
      <c r="G16" s="134"/>
      <c r="H16" s="134"/>
    </row>
    <row r="17" spans="1:10" x14ac:dyDescent="0.2">
      <c r="A17" s="20">
        <v>1</v>
      </c>
      <c r="B17" s="21">
        <v>2</v>
      </c>
      <c r="C17" s="21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</row>
    <row r="18" spans="1:10" ht="12.75" customHeight="1" x14ac:dyDescent="0.2">
      <c r="A18" s="130" t="s">
        <v>10</v>
      </c>
      <c r="B18" s="131"/>
      <c r="C18" s="131"/>
      <c r="D18" s="131"/>
      <c r="E18" s="131"/>
      <c r="F18" s="131"/>
      <c r="G18" s="131"/>
      <c r="H18" s="131"/>
    </row>
    <row r="19" spans="1:10" ht="26.45" customHeight="1" x14ac:dyDescent="0.2">
      <c r="A19" s="1">
        <v>1</v>
      </c>
      <c r="B19" s="42" t="s">
        <v>34</v>
      </c>
      <c r="C19" s="42" t="s">
        <v>94</v>
      </c>
      <c r="D19" s="82"/>
      <c r="E19" s="79">
        <f>2368.16*I19</f>
        <v>75781.119999999995</v>
      </c>
      <c r="F19" s="79">
        <f>9530*I19</f>
        <v>304960</v>
      </c>
      <c r="G19" s="82"/>
      <c r="H19" s="79">
        <f>SUM(D19:G19)</f>
        <v>380741.12</v>
      </c>
      <c r="I19" s="8">
        <v>32</v>
      </c>
    </row>
    <row r="20" spans="1:10" ht="24.95" customHeight="1" x14ac:dyDescent="0.2">
      <c r="A20" s="1">
        <v>2</v>
      </c>
      <c r="B20" s="42" t="s">
        <v>95</v>
      </c>
      <c r="C20" s="42" t="s">
        <v>96</v>
      </c>
      <c r="D20" s="82"/>
      <c r="E20" s="79">
        <f>2368.16*I20</f>
        <v>772020.16</v>
      </c>
      <c r="F20" s="79">
        <f>9923*I20</f>
        <v>3234898</v>
      </c>
      <c r="G20" s="82"/>
      <c r="H20" s="79">
        <f t="shared" ref="H20:H24" si="0">SUM(D20:G20)</f>
        <v>4006918.16</v>
      </c>
      <c r="I20" s="8">
        <v>326</v>
      </c>
    </row>
    <row r="21" spans="1:10" ht="24.95" customHeight="1" x14ac:dyDescent="0.2">
      <c r="A21" s="1">
        <v>3</v>
      </c>
      <c r="B21" s="42" t="s">
        <v>97</v>
      </c>
      <c r="C21" s="42" t="s">
        <v>98</v>
      </c>
      <c r="D21" s="82"/>
      <c r="E21" s="79">
        <f xml:space="preserve"> 4415.3*I21</f>
        <v>70644.800000000003</v>
      </c>
      <c r="F21" s="79">
        <f>15580*I21</f>
        <v>249280</v>
      </c>
      <c r="G21" s="82"/>
      <c r="H21" s="79">
        <f t="shared" si="0"/>
        <v>319924.8</v>
      </c>
      <c r="I21" s="8">
        <v>16</v>
      </c>
    </row>
    <row r="22" spans="1:10" ht="24.95" customHeight="1" x14ac:dyDescent="0.2">
      <c r="A22" s="1">
        <v>4</v>
      </c>
      <c r="B22" s="42" t="s">
        <v>99</v>
      </c>
      <c r="C22" s="42" t="s">
        <v>100</v>
      </c>
      <c r="D22" s="82"/>
      <c r="E22" s="79">
        <f>4128.97*I22</f>
        <v>359220.39</v>
      </c>
      <c r="F22" s="79">
        <f>16064*I22</f>
        <v>1397568</v>
      </c>
      <c r="G22" s="82"/>
      <c r="H22" s="79">
        <f t="shared" si="0"/>
        <v>1756788.39</v>
      </c>
      <c r="I22" s="8">
        <v>87</v>
      </c>
    </row>
    <row r="23" spans="1:10" ht="14.45" customHeight="1" x14ac:dyDescent="0.2">
      <c r="A23" s="1">
        <v>5</v>
      </c>
      <c r="B23" s="42" t="s">
        <v>101</v>
      </c>
      <c r="C23" s="42" t="s">
        <v>102</v>
      </c>
      <c r="D23" s="79">
        <f xml:space="preserve"> 3983.07*I23</f>
        <v>107542.89</v>
      </c>
      <c r="E23" s="82"/>
      <c r="F23" s="82"/>
      <c r="G23" s="82"/>
      <c r="H23" s="79">
        <f t="shared" si="0"/>
        <v>107542.89</v>
      </c>
      <c r="I23" s="8">
        <v>27</v>
      </c>
      <c r="J23" s="89"/>
    </row>
    <row r="24" spans="1:10" ht="16.899999999999999" customHeight="1" x14ac:dyDescent="0.2">
      <c r="A24" s="1">
        <v>6</v>
      </c>
      <c r="B24" s="42" t="s">
        <v>103</v>
      </c>
      <c r="C24" s="42" t="s">
        <v>104</v>
      </c>
      <c r="D24" s="79">
        <f>5875.36*I24</f>
        <v>0</v>
      </c>
      <c r="E24" s="82"/>
      <c r="F24" s="82"/>
      <c r="G24" s="82"/>
      <c r="H24" s="79">
        <f t="shared" si="0"/>
        <v>0</v>
      </c>
    </row>
    <row r="25" spans="1:10" ht="18" customHeight="1" x14ac:dyDescent="0.2">
      <c r="A25" s="22"/>
      <c r="B25" s="132" t="s">
        <v>11</v>
      </c>
      <c r="C25" s="133"/>
      <c r="D25" s="81">
        <f>SUM(D19:D24)</f>
        <v>107542.89</v>
      </c>
      <c r="E25" s="81">
        <f t="shared" ref="E25:H25" si="1">SUM(E19:E24)</f>
        <v>1277666.47</v>
      </c>
      <c r="F25" s="81">
        <f t="shared" si="1"/>
        <v>5186706</v>
      </c>
      <c r="G25" s="81">
        <f t="shared" si="1"/>
        <v>0</v>
      </c>
      <c r="H25" s="81">
        <f t="shared" si="1"/>
        <v>6571915.3600000003</v>
      </c>
    </row>
    <row r="26" spans="1:10" ht="12.75" customHeight="1" x14ac:dyDescent="0.2">
      <c r="A26" s="130" t="s">
        <v>12</v>
      </c>
      <c r="B26" s="131"/>
      <c r="C26" s="131"/>
      <c r="D26" s="131"/>
      <c r="E26" s="131"/>
      <c r="F26" s="131"/>
      <c r="G26" s="131"/>
      <c r="H26" s="131"/>
    </row>
    <row r="27" spans="1:10" x14ac:dyDescent="0.2">
      <c r="A27" s="22"/>
      <c r="B27" s="132" t="s">
        <v>13</v>
      </c>
      <c r="C27" s="133"/>
      <c r="D27" s="81">
        <f>D25</f>
        <v>107542.89</v>
      </c>
      <c r="E27" s="81">
        <f>E25</f>
        <v>1277666.47</v>
      </c>
      <c r="F27" s="81">
        <f t="shared" ref="F27:H27" si="2">F25</f>
        <v>5186706</v>
      </c>
      <c r="G27" s="81"/>
      <c r="H27" s="81">
        <f t="shared" si="2"/>
        <v>6571915.3600000003</v>
      </c>
    </row>
    <row r="28" spans="1:10" ht="12.75" customHeight="1" x14ac:dyDescent="0.2">
      <c r="A28" s="130" t="s">
        <v>14</v>
      </c>
      <c r="B28" s="131"/>
      <c r="C28" s="131"/>
      <c r="D28" s="131"/>
      <c r="E28" s="131"/>
      <c r="F28" s="131"/>
      <c r="G28" s="131"/>
      <c r="H28" s="131"/>
    </row>
    <row r="29" spans="1:10" ht="19.5" hidden="1" customHeight="1" x14ac:dyDescent="0.2">
      <c r="A29" s="23">
        <v>19</v>
      </c>
      <c r="B29" s="24" t="s">
        <v>15</v>
      </c>
      <c r="C29" s="24" t="s">
        <v>16</v>
      </c>
      <c r="D29" s="25"/>
      <c r="E29" s="26"/>
      <c r="F29" s="27"/>
      <c r="G29" s="27"/>
      <c r="H29" s="28">
        <f t="shared" ref="H29" si="3">SUM(E29:G29)</f>
        <v>0</v>
      </c>
    </row>
    <row r="30" spans="1:10" ht="12.75" customHeight="1" x14ac:dyDescent="0.2">
      <c r="A30" s="22"/>
      <c r="B30" s="132" t="s">
        <v>17</v>
      </c>
      <c r="C30" s="133"/>
      <c r="D30" s="27"/>
      <c r="E30" s="29"/>
      <c r="F30" s="30"/>
      <c r="G30" s="30"/>
      <c r="H30" s="29"/>
    </row>
    <row r="31" spans="1:10" x14ac:dyDescent="0.2">
      <c r="A31" s="22"/>
      <c r="B31" s="132" t="s">
        <v>18</v>
      </c>
      <c r="C31" s="133"/>
      <c r="D31" s="81">
        <f>D27</f>
        <v>107542.89</v>
      </c>
      <c r="E31" s="81">
        <f t="shared" ref="E31:H31" si="4">E27+E30</f>
        <v>1277666.47</v>
      </c>
      <c r="F31" s="81">
        <f t="shared" si="4"/>
        <v>5186706</v>
      </c>
      <c r="G31" s="81"/>
      <c r="H31" s="81">
        <f t="shared" si="4"/>
        <v>6571915.3600000003</v>
      </c>
    </row>
    <row r="32" spans="1:10" ht="15" customHeight="1" x14ac:dyDescent="0.2">
      <c r="A32" s="130" t="s">
        <v>19</v>
      </c>
      <c r="B32" s="131"/>
      <c r="C32" s="131"/>
      <c r="D32" s="131"/>
      <c r="E32" s="131"/>
      <c r="F32" s="131"/>
      <c r="G32" s="131"/>
      <c r="H32" s="131"/>
    </row>
    <row r="33" spans="1:11" ht="15.95" customHeight="1" x14ac:dyDescent="0.2">
      <c r="A33" s="1">
        <v>7</v>
      </c>
      <c r="B33" s="42" t="s">
        <v>35</v>
      </c>
      <c r="C33" s="42" t="s">
        <v>105</v>
      </c>
      <c r="D33" s="82"/>
      <c r="E33" s="82"/>
      <c r="F33" s="82"/>
      <c r="G33" s="79">
        <f>409.34*I33</f>
        <v>146543.72</v>
      </c>
      <c r="H33" s="79">
        <f t="shared" ref="H33:H34" si="5">SUM(D33:G33)</f>
        <v>146543.72</v>
      </c>
      <c r="I33" s="8">
        <f>I19+I20</f>
        <v>358</v>
      </c>
    </row>
    <row r="34" spans="1:11" ht="15.95" customHeight="1" x14ac:dyDescent="0.2">
      <c r="A34" s="1">
        <v>8</v>
      </c>
      <c r="B34" s="42" t="s">
        <v>36</v>
      </c>
      <c r="C34" s="42" t="s">
        <v>106</v>
      </c>
      <c r="D34" s="82"/>
      <c r="E34" s="82"/>
      <c r="F34" s="82"/>
      <c r="G34" s="79">
        <f>409.34*I34</f>
        <v>42162.02</v>
      </c>
      <c r="H34" s="79">
        <f t="shared" si="5"/>
        <v>42162.02</v>
      </c>
      <c r="I34" s="8">
        <f>I21+I22</f>
        <v>103</v>
      </c>
    </row>
    <row r="35" spans="1:11" ht="12.75" customHeight="1" x14ac:dyDescent="0.2">
      <c r="A35" s="22"/>
      <c r="B35" s="132" t="s">
        <v>20</v>
      </c>
      <c r="C35" s="132"/>
      <c r="D35" s="81"/>
      <c r="E35" s="81"/>
      <c r="F35" s="81"/>
      <c r="G35" s="81">
        <f>SUM(G33:G34)</f>
        <v>188705.74</v>
      </c>
      <c r="H35" s="81">
        <f>SUM(H33:H34)</f>
        <v>188705.74</v>
      </c>
    </row>
    <row r="36" spans="1:11" x14ac:dyDescent="0.2">
      <c r="A36" s="22"/>
      <c r="B36" s="132" t="s">
        <v>21</v>
      </c>
      <c r="C36" s="132"/>
      <c r="D36" s="81">
        <f>D35+D31</f>
        <v>107542.89</v>
      </c>
      <c r="E36" s="81">
        <f t="shared" ref="E36:H36" si="6">E35+E31</f>
        <v>1277666.47</v>
      </c>
      <c r="F36" s="81">
        <f t="shared" si="6"/>
        <v>5186706</v>
      </c>
      <c r="G36" s="81">
        <f t="shared" si="6"/>
        <v>188705.74</v>
      </c>
      <c r="H36" s="81">
        <f t="shared" si="6"/>
        <v>6760621.0999999996</v>
      </c>
    </row>
    <row r="37" spans="1:11" ht="12.75" customHeight="1" x14ac:dyDescent="0.2">
      <c r="A37" s="121" t="s">
        <v>22</v>
      </c>
      <c r="B37" s="122"/>
      <c r="C37" s="122"/>
      <c r="D37" s="122"/>
      <c r="E37" s="122"/>
      <c r="F37" s="122"/>
      <c r="G37" s="122"/>
      <c r="H37" s="123"/>
    </row>
    <row r="38" spans="1:11" ht="54.75" customHeight="1" x14ac:dyDescent="0.2">
      <c r="A38" s="23">
        <v>9</v>
      </c>
      <c r="B38" s="24" t="s">
        <v>122</v>
      </c>
      <c r="C38" s="24" t="s">
        <v>123</v>
      </c>
      <c r="D38" s="27"/>
      <c r="E38" s="27"/>
      <c r="F38" s="27"/>
      <c r="G38" s="83">
        <f>(H36+H42)*11.24%</f>
        <v>812754.9</v>
      </c>
      <c r="H38" s="83">
        <f t="shared" ref="H38" si="7">SUM(D38:G38)</f>
        <v>812754.9</v>
      </c>
    </row>
    <row r="39" spans="1:11" ht="25.5" customHeight="1" x14ac:dyDescent="0.2">
      <c r="A39" s="22"/>
      <c r="B39" s="124" t="s">
        <v>23</v>
      </c>
      <c r="C39" s="125"/>
      <c r="D39" s="31"/>
      <c r="E39" s="32"/>
      <c r="F39" s="32"/>
      <c r="G39" s="81">
        <f>SUM(G38:G38)</f>
        <v>812754.9</v>
      </c>
      <c r="H39" s="81">
        <f>SUM(H38:H38)</f>
        <v>812754.9</v>
      </c>
    </row>
    <row r="40" spans="1:11" ht="56.45" customHeight="1" x14ac:dyDescent="0.2">
      <c r="A40" s="121" t="s">
        <v>44</v>
      </c>
      <c r="B40" s="122"/>
      <c r="C40" s="122"/>
      <c r="D40" s="122"/>
      <c r="E40" s="122"/>
      <c r="F40" s="122"/>
      <c r="G40" s="122"/>
      <c r="H40" s="123"/>
    </row>
    <row r="41" spans="1:11" ht="18.600000000000001" customHeight="1" x14ac:dyDescent="0.2">
      <c r="A41" s="23">
        <v>10</v>
      </c>
      <c r="B41" s="42" t="s">
        <v>38</v>
      </c>
      <c r="C41" s="42" t="s">
        <v>37</v>
      </c>
      <c r="D41" s="82"/>
      <c r="E41" s="82"/>
      <c r="F41" s="82"/>
      <c r="G41" s="79">
        <v>470294.34</v>
      </c>
      <c r="H41" s="79">
        <f t="shared" ref="H41" si="8">SUM(D41:G41)</f>
        <v>470294.34</v>
      </c>
    </row>
    <row r="42" spans="1:11" ht="117" customHeight="1" x14ac:dyDescent="0.2">
      <c r="A42" s="22"/>
      <c r="B42" s="124" t="s">
        <v>45</v>
      </c>
      <c r="C42" s="125"/>
      <c r="D42" s="81"/>
      <c r="E42" s="81"/>
      <c r="F42" s="81"/>
      <c r="G42" s="81">
        <f>G41</f>
        <v>470294.34</v>
      </c>
      <c r="H42" s="81">
        <f>H41</f>
        <v>470294.34</v>
      </c>
    </row>
    <row r="43" spans="1:11" x14ac:dyDescent="0.2">
      <c r="A43" s="22"/>
      <c r="B43" s="124" t="s">
        <v>24</v>
      </c>
      <c r="C43" s="125"/>
      <c r="D43" s="81">
        <f>D42+D39+D36</f>
        <v>107542.89</v>
      </c>
      <c r="E43" s="81">
        <f t="shared" ref="E43:H43" si="9">E42+E39+E36</f>
        <v>1277666.47</v>
      </c>
      <c r="F43" s="81">
        <f t="shared" si="9"/>
        <v>5186706</v>
      </c>
      <c r="G43" s="81">
        <f t="shared" si="9"/>
        <v>1471754.98</v>
      </c>
      <c r="H43" s="81">
        <f t="shared" si="9"/>
        <v>8043670.3399999999</v>
      </c>
      <c r="J43" s="77"/>
    </row>
    <row r="44" spans="1:11" x14ac:dyDescent="0.2">
      <c r="A44" s="113" t="s">
        <v>50</v>
      </c>
      <c r="B44" s="114"/>
      <c r="C44" s="115"/>
      <c r="D44" s="44">
        <f>1.051*1.048*1.047*1.047*1.047*1.047</f>
        <v>1.3240000000000001</v>
      </c>
      <c r="E44" s="44">
        <f t="shared" ref="E44:H44" si="10">1.051*1.048*1.047*1.047*1.047*1.047</f>
        <v>1.3240000000000001</v>
      </c>
      <c r="F44" s="44">
        <f t="shared" si="10"/>
        <v>1.3240000000000001</v>
      </c>
      <c r="G44" s="44">
        <f t="shared" si="10"/>
        <v>1.3240000000000001</v>
      </c>
      <c r="H44" s="44">
        <f t="shared" si="10"/>
        <v>1.3240000000000001</v>
      </c>
    </row>
    <row r="45" spans="1:11" ht="12.75" customHeight="1" x14ac:dyDescent="0.2">
      <c r="A45" s="113" t="s">
        <v>114</v>
      </c>
      <c r="B45" s="116"/>
      <c r="C45" s="117"/>
      <c r="D45" s="45">
        <f>D43*D44</f>
        <v>142386.79</v>
      </c>
      <c r="E45" s="45">
        <f t="shared" ref="E45:H45" si="11">E43*E44</f>
        <v>1691630.41</v>
      </c>
      <c r="F45" s="45">
        <f t="shared" si="11"/>
        <v>6867198.7400000002</v>
      </c>
      <c r="G45" s="45">
        <f t="shared" si="11"/>
        <v>1948603.59</v>
      </c>
      <c r="H45" s="45">
        <f t="shared" si="11"/>
        <v>10649819.529999999</v>
      </c>
    </row>
    <row r="46" spans="1:11" x14ac:dyDescent="0.2">
      <c r="A46" s="1">
        <v>11</v>
      </c>
      <c r="B46" s="39"/>
      <c r="C46" s="42" t="s">
        <v>47</v>
      </c>
      <c r="D46" s="43">
        <f>D45*1%</f>
        <v>1423.87</v>
      </c>
      <c r="E46" s="43">
        <f t="shared" ref="E46:F46" si="12">E45*1%</f>
        <v>16916.3</v>
      </c>
      <c r="F46" s="43">
        <f t="shared" si="12"/>
        <v>68671.990000000005</v>
      </c>
      <c r="G46" s="43">
        <f>G45*1%-0.01</f>
        <v>19486.03</v>
      </c>
      <c r="H46" s="43">
        <f>SUM(D46:G46)</f>
        <v>106498.19</v>
      </c>
    </row>
    <row r="47" spans="1:11" s="4" customFormat="1" ht="16.5" customHeight="1" x14ac:dyDescent="0.2">
      <c r="A47" s="40"/>
      <c r="B47" s="126" t="s">
        <v>48</v>
      </c>
      <c r="C47" s="127"/>
      <c r="D47" s="80">
        <f>D45+D46</f>
        <v>143810.66</v>
      </c>
      <c r="E47" s="80">
        <f t="shared" ref="E47:H47" si="13">E45+E46</f>
        <v>1708546.71</v>
      </c>
      <c r="F47" s="80">
        <f t="shared" si="13"/>
        <v>6935870.7300000004</v>
      </c>
      <c r="G47" s="80">
        <f t="shared" si="13"/>
        <v>1968089.62</v>
      </c>
      <c r="H47" s="80">
        <f t="shared" si="13"/>
        <v>10756317.720000001</v>
      </c>
      <c r="I47" s="92"/>
      <c r="J47" s="94"/>
    </row>
    <row r="48" spans="1:11" ht="18" customHeight="1" x14ac:dyDescent="0.2">
      <c r="A48" s="23">
        <v>12</v>
      </c>
      <c r="B48" s="24"/>
      <c r="C48" s="24" t="s">
        <v>25</v>
      </c>
      <c r="D48" s="81">
        <f>D47*0.2</f>
        <v>28762.13</v>
      </c>
      <c r="E48" s="81">
        <f>E47*0.2</f>
        <v>341709.34</v>
      </c>
      <c r="F48" s="81">
        <f>F47*0.2</f>
        <v>1387174.15</v>
      </c>
      <c r="G48" s="81">
        <f>G47*0.2</f>
        <v>393617.91999999998</v>
      </c>
      <c r="H48" s="81">
        <f>H47*0.2</f>
        <v>2151263.54</v>
      </c>
      <c r="K48" s="41"/>
    </row>
    <row r="49" spans="1:8" s="33" customFormat="1" ht="18" customHeight="1" x14ac:dyDescent="0.2">
      <c r="A49" s="73"/>
      <c r="B49" s="128" t="s">
        <v>31</v>
      </c>
      <c r="C49" s="129"/>
      <c r="D49" s="81">
        <f>D47+D48</f>
        <v>172572.79</v>
      </c>
      <c r="E49" s="81">
        <f>E47+E48</f>
        <v>2050256.05</v>
      </c>
      <c r="F49" s="81">
        <f>F47+F48</f>
        <v>8323044.8799999999</v>
      </c>
      <c r="G49" s="81">
        <f>G47+G48</f>
        <v>2361707.54</v>
      </c>
      <c r="H49" s="81">
        <f>H47+H48</f>
        <v>12907581.26</v>
      </c>
    </row>
    <row r="50" spans="1:8" x14ac:dyDescent="0.2">
      <c r="A50" s="16"/>
      <c r="B50" s="17"/>
      <c r="C50" s="17"/>
      <c r="D50" s="34"/>
      <c r="E50" s="34"/>
      <c r="F50" s="34"/>
      <c r="G50" s="34"/>
      <c r="H50" s="34"/>
    </row>
    <row r="51" spans="1:8" s="36" customFormat="1" ht="21" customHeight="1" x14ac:dyDescent="0.2">
      <c r="A51" s="118" t="s">
        <v>40</v>
      </c>
      <c r="B51" s="118"/>
      <c r="C51" s="118"/>
      <c r="D51" s="35"/>
      <c r="E51" s="35"/>
      <c r="F51" s="35"/>
      <c r="G51" s="35"/>
      <c r="H51" s="35"/>
    </row>
    <row r="52" spans="1:8" s="36" customFormat="1" ht="14.25" customHeight="1" x14ac:dyDescent="0.2">
      <c r="A52" s="119" t="s">
        <v>46</v>
      </c>
      <c r="B52" s="119"/>
      <c r="C52" s="119"/>
      <c r="D52" s="35"/>
      <c r="E52" s="35"/>
      <c r="F52" s="35"/>
      <c r="G52" s="120" t="s">
        <v>39</v>
      </c>
      <c r="H52" s="120"/>
    </row>
    <row r="53" spans="1:8" s="37" customFormat="1" ht="12.75" customHeight="1" x14ac:dyDescent="0.2">
      <c r="A53" s="112" t="s">
        <v>26</v>
      </c>
      <c r="B53" s="112"/>
      <c r="C53" s="112"/>
      <c r="D53" s="112"/>
      <c r="E53" s="112"/>
      <c r="F53" s="112"/>
      <c r="G53" s="112"/>
      <c r="H53" s="112"/>
    </row>
    <row r="54" spans="1:8" s="36" customFormat="1" ht="21" customHeight="1" x14ac:dyDescent="0.2">
      <c r="A54" s="118" t="s">
        <v>41</v>
      </c>
      <c r="B54" s="118"/>
      <c r="C54" s="118"/>
      <c r="D54" s="35"/>
      <c r="E54" s="35"/>
      <c r="F54" s="35"/>
      <c r="G54" s="35"/>
      <c r="H54" s="35"/>
    </row>
    <row r="55" spans="1:8" s="36" customFormat="1" ht="37.5" customHeight="1" x14ac:dyDescent="0.2">
      <c r="A55" s="120" t="s">
        <v>107</v>
      </c>
      <c r="B55" s="120"/>
      <c r="C55" s="120"/>
      <c r="D55" s="35"/>
      <c r="E55" s="35"/>
      <c r="F55" s="35"/>
      <c r="G55" s="120" t="s">
        <v>119</v>
      </c>
      <c r="H55" s="120"/>
    </row>
    <row r="56" spans="1:8" s="37" customFormat="1" ht="15.6" customHeight="1" x14ac:dyDescent="0.2">
      <c r="A56" s="112" t="s">
        <v>26</v>
      </c>
      <c r="B56" s="112"/>
      <c r="C56" s="112"/>
      <c r="D56" s="112"/>
      <c r="E56" s="112"/>
      <c r="F56" s="112"/>
      <c r="G56" s="112"/>
      <c r="H56" s="112"/>
    </row>
    <row r="57" spans="1:8" x14ac:dyDescent="0.2">
      <c r="C57" s="5"/>
    </row>
    <row r="62" spans="1:8" x14ac:dyDescent="0.2">
      <c r="H62" s="78">
        <f>H49+'[2]Сводный сметный расчет'!$H$42</f>
        <v>12909557.73158</v>
      </c>
    </row>
  </sheetData>
  <mergeCells count="48">
    <mergeCell ref="A11:H11"/>
    <mergeCell ref="C1:G1"/>
    <mergeCell ref="A3:C3"/>
    <mergeCell ref="E3:H3"/>
    <mergeCell ref="A4:C4"/>
    <mergeCell ref="A5:D5"/>
    <mergeCell ref="E5:H5"/>
    <mergeCell ref="A6:D6"/>
    <mergeCell ref="E6:H6"/>
    <mergeCell ref="A8:H8"/>
    <mergeCell ref="A9:H9"/>
    <mergeCell ref="C10:E10"/>
    <mergeCell ref="A13:A16"/>
    <mergeCell ref="B13:B16"/>
    <mergeCell ref="C13:C16"/>
    <mergeCell ref="D13:G13"/>
    <mergeCell ref="H13:H16"/>
    <mergeCell ref="D14:D16"/>
    <mergeCell ref="E14:E16"/>
    <mergeCell ref="F14:F16"/>
    <mergeCell ref="G14:G16"/>
    <mergeCell ref="B39:C39"/>
    <mergeCell ref="A18:H18"/>
    <mergeCell ref="B25:C25"/>
    <mergeCell ref="A26:H26"/>
    <mergeCell ref="B27:C27"/>
    <mergeCell ref="A28:H28"/>
    <mergeCell ref="B30:C30"/>
    <mergeCell ref="B31:C31"/>
    <mergeCell ref="A32:H32"/>
    <mergeCell ref="B35:C35"/>
    <mergeCell ref="B36:C36"/>
    <mergeCell ref="A37:H37"/>
    <mergeCell ref="A40:H40"/>
    <mergeCell ref="B42:C42"/>
    <mergeCell ref="B43:C43"/>
    <mergeCell ref="B47:C47"/>
    <mergeCell ref="B49:C49"/>
    <mergeCell ref="A56:H56"/>
    <mergeCell ref="A44:C44"/>
    <mergeCell ref="A45:C45"/>
    <mergeCell ref="A51:C51"/>
    <mergeCell ref="A52:C52"/>
    <mergeCell ref="G52:H52"/>
    <mergeCell ref="A53:H53"/>
    <mergeCell ref="A54:C54"/>
    <mergeCell ref="A55:C55"/>
    <mergeCell ref="G55:H55"/>
  </mergeCells>
  <pageMargins left="0.43307086614173229" right="0.23622047244094491" top="0.51181102362204722" bottom="0.43307086614173229" header="0.31496062992125984" footer="0.31496062992125984"/>
  <pageSetup paperSize="9" scale="94" fitToHeight="2" orientation="landscape" r:id="rId1"/>
  <headerFooter alignWithMargins="0">
    <oddHeader>&amp;LГРАНД-Смета 2019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18</vt:i4>
      </vt:variant>
    </vt:vector>
  </HeadingPairs>
  <TitlesOfParts>
    <vt:vector size="28" baseType="lpstr">
      <vt:lpstr>Свод</vt:lpstr>
      <vt:lpstr>2020  факт</vt:lpstr>
      <vt:lpstr>2021  факт</vt:lpstr>
      <vt:lpstr>цена МАТ. и ОБОР. по ТКП</vt:lpstr>
      <vt:lpstr>2022г</vt:lpstr>
      <vt:lpstr>2023г</vt:lpstr>
      <vt:lpstr>2024г</vt:lpstr>
      <vt:lpstr>2025г</vt:lpstr>
      <vt:lpstr>2026г</vt:lpstr>
      <vt:lpstr>2027г</vt:lpstr>
      <vt:lpstr>'2022г'!Print_Titles</vt:lpstr>
      <vt:lpstr>'2023г'!Print_Titles</vt:lpstr>
      <vt:lpstr>'2024г'!Print_Titles</vt:lpstr>
      <vt:lpstr>'2025г'!Print_Titles</vt:lpstr>
      <vt:lpstr>'2026г'!Print_Titles</vt:lpstr>
      <vt:lpstr>'2027г'!Print_Titles</vt:lpstr>
      <vt:lpstr>'2022г'!Заголовки_для_печати</vt:lpstr>
      <vt:lpstr>'2023г'!Заголовки_для_печати</vt:lpstr>
      <vt:lpstr>'2024г'!Заголовки_для_печати</vt:lpstr>
      <vt:lpstr>'2025г'!Заголовки_для_печати</vt:lpstr>
      <vt:lpstr>'2026г'!Заголовки_для_печати</vt:lpstr>
      <vt:lpstr>'2027г'!Заголовки_для_печати</vt:lpstr>
      <vt:lpstr>'2022г'!Область_печати</vt:lpstr>
      <vt:lpstr>'2023г'!Область_печати</vt:lpstr>
      <vt:lpstr>'2024г'!Область_печати</vt:lpstr>
      <vt:lpstr>'2025г'!Область_печати</vt:lpstr>
      <vt:lpstr>'2026г'!Область_печати</vt:lpstr>
      <vt:lpstr>'2027г'!Область_печати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Nikitenko</dc:creator>
  <cp:lastModifiedBy>Решетняк Маргарита Игоревна</cp:lastModifiedBy>
  <cp:lastPrinted>2021-01-13T12:45:19Z</cp:lastPrinted>
  <dcterms:created xsi:type="dcterms:W3CDTF">2002-03-25T05:35:56Z</dcterms:created>
  <dcterms:modified xsi:type="dcterms:W3CDTF">2022-10-26T11:28:57Z</dcterms:modified>
</cp:coreProperties>
</file>